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E:\PKP 2023\"/>
    </mc:Choice>
  </mc:AlternateContent>
  <xr:revisionPtr revIDLastSave="0" documentId="13_ncr:1_{D0782253-149C-4508-B8E7-DD86895CC157}" xr6:coauthVersionLast="47" xr6:coauthVersionMax="47" xr10:uidLastSave="{00000000-0000-0000-0000-000000000000}"/>
  <bookViews>
    <workbookView xWindow="-120" yWindow="-120" windowWidth="20730" windowHeight="11040" xr2:uid="{00000000-000D-0000-FFFF-FFFF00000000}"/>
  </bookViews>
  <sheets>
    <sheet name="Instrumen Admen" sheetId="1" r:id="rId1"/>
    <sheet name="Instrumen UKM Esensial &amp; Perkes" sheetId="2" r:id="rId2"/>
    <sheet name="Instrumen UKM Pengembangan" sheetId="3" r:id="rId3"/>
    <sheet name="Instrumen UKP" sheetId="4" r:id="rId4"/>
    <sheet name="Instrumen Mutu" sheetId="5" r:id="rId5"/>
    <sheet name="REKAP" sheetId="6" r:id="rId6"/>
  </sheets>
  <definedNames>
    <definedName name="_xlnm.Print_Area" localSheetId="0">'Instrumen Admen'!$A$1:$K$48</definedName>
    <definedName name="_xlnm.Print_Area" localSheetId="4">'Instrumen Mutu'!$A$1:$Q$26</definedName>
    <definedName name="_xlnm.Print_Area" localSheetId="2">'Instrumen UKM Pengembangan'!$A$1:$R$39</definedName>
    <definedName name="_xlnm.Print_Area" localSheetId="3">'Instrumen UKP'!$A$1:$Q$43</definedName>
    <definedName name="_xlnm.Print_Titles" localSheetId="0">'Instrumen Admen'!$5:$7</definedName>
    <definedName name="_xlnm.Print_Titles" localSheetId="4">'Instrumen Mutu'!$1:$6</definedName>
    <definedName name="_xlnm.Print_Titles" localSheetId="1">'Instrumen UKM Esensial &amp; Perkes'!$1:$7</definedName>
    <definedName name="_xlnm.Print_Titles" localSheetId="2">'Instrumen UKM Pengembangan'!$1:$6</definedName>
    <definedName name="_xlnm.Print_Titles" localSheetId="3">'Instrumen UKP'!$1:$6</definedName>
    <definedName name="_xlnm.Print_Titles" localSheetId="5">REKAP!$1:$5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4" l="1"/>
  <c r="I141" i="2"/>
  <c r="E31" i="4" l="1"/>
  <c r="E30" i="4"/>
  <c r="F30" i="4" s="1"/>
  <c r="F29" i="4"/>
  <c r="E28" i="4"/>
  <c r="E27" i="4"/>
  <c r="E26" i="4"/>
  <c r="E25" i="4"/>
  <c r="F25" i="4" s="1"/>
  <c r="F22" i="4"/>
  <c r="F23" i="4"/>
  <c r="F24" i="4"/>
  <c r="F31" i="4"/>
  <c r="G74" i="2"/>
  <c r="J74" i="2" s="1"/>
  <c r="G75" i="2"/>
  <c r="J75" i="2" s="1"/>
  <c r="I74" i="2"/>
  <c r="I75" i="2"/>
  <c r="K20" i="3"/>
  <c r="I138" i="2" l="1"/>
  <c r="I127" i="2"/>
  <c r="I128" i="2"/>
  <c r="I114" i="2" l="1"/>
  <c r="H18" i="5" l="1"/>
  <c r="H17" i="5"/>
  <c r="H15" i="5"/>
  <c r="H12" i="5"/>
  <c r="J13" i="5" l="1"/>
  <c r="H46" i="1" l="1"/>
  <c r="K133" i="2"/>
  <c r="C49" i="6" s="1"/>
  <c r="H41" i="1" l="1"/>
  <c r="H36" i="1"/>
  <c r="H32" i="1"/>
  <c r="H25" i="1"/>
  <c r="H47" i="1" l="1"/>
  <c r="H48" i="1" s="1"/>
  <c r="I23" i="3"/>
  <c r="I24" i="3"/>
  <c r="I25" i="3"/>
  <c r="I20" i="3"/>
  <c r="H20" i="5" l="1"/>
  <c r="F20" i="5"/>
  <c r="J20" i="5" s="1"/>
  <c r="K19" i="5" s="1"/>
  <c r="C72" i="6" s="1"/>
  <c r="F18" i="5"/>
  <c r="J18" i="5" s="1"/>
  <c r="F17" i="5"/>
  <c r="J17" i="5" s="1"/>
  <c r="H16" i="5"/>
  <c r="F16" i="5"/>
  <c r="J16" i="5" s="1"/>
  <c r="F15" i="5"/>
  <c r="J15" i="5" s="1"/>
  <c r="H23" i="4"/>
  <c r="J23" i="4"/>
  <c r="F14" i="4"/>
  <c r="H17" i="4"/>
  <c r="F17" i="4"/>
  <c r="J17" i="4" s="1"/>
  <c r="F16" i="4"/>
  <c r="H16" i="4" s="1"/>
  <c r="J16" i="4" s="1"/>
  <c r="I18" i="3"/>
  <c r="G18" i="3"/>
  <c r="K18" i="3" s="1"/>
  <c r="G17" i="3"/>
  <c r="G177" i="2"/>
  <c r="G176" i="2"/>
  <c r="G175" i="2"/>
  <c r="G174" i="2"/>
  <c r="G160" i="2"/>
  <c r="G171" i="2"/>
  <c r="G170" i="2"/>
  <c r="G169" i="2"/>
  <c r="G168" i="2"/>
  <c r="G167" i="2"/>
  <c r="G166" i="2"/>
  <c r="G165" i="2"/>
  <c r="G164" i="2"/>
  <c r="G163" i="2"/>
  <c r="G162" i="2"/>
  <c r="G153" i="2"/>
  <c r="I154" i="2"/>
  <c r="G154" i="2"/>
  <c r="J154" i="2" s="1"/>
  <c r="G121" i="2"/>
  <c r="G120" i="2"/>
  <c r="J120" i="2" s="1"/>
  <c r="I120" i="2"/>
  <c r="I109" i="2"/>
  <c r="G109" i="2"/>
  <c r="J109" i="2" s="1"/>
  <c r="I107" i="2"/>
  <c r="G107" i="2"/>
  <c r="I106" i="2"/>
  <c r="G106" i="2"/>
  <c r="J106" i="2" s="1"/>
  <c r="G36" i="2"/>
  <c r="G81" i="2"/>
  <c r="K105" i="2" l="1"/>
  <c r="C42" i="6" s="1"/>
  <c r="K14" i="5"/>
  <c r="C71" i="6" s="1"/>
  <c r="H14" i="4"/>
  <c r="J14" i="4" s="1"/>
  <c r="J27" i="4" l="1"/>
  <c r="G66" i="2"/>
  <c r="G65" i="2"/>
  <c r="G61" i="2"/>
  <c r="G62" i="2"/>
  <c r="G63" i="2"/>
  <c r="G60" i="2"/>
  <c r="G55" i="2"/>
  <c r="G56" i="2"/>
  <c r="G57" i="2"/>
  <c r="G58" i="2"/>
  <c r="G79" i="2"/>
  <c r="F37" i="4" l="1"/>
  <c r="F10" i="4"/>
  <c r="G29" i="3" l="1"/>
  <c r="F38" i="4"/>
  <c r="H28" i="4"/>
  <c r="G33" i="3"/>
  <c r="G34" i="3"/>
  <c r="G32" i="3"/>
  <c r="F9" i="5" l="1"/>
  <c r="J9" i="5" s="1"/>
  <c r="F10" i="5"/>
  <c r="F11" i="5"/>
  <c r="F12" i="5"/>
  <c r="J12" i="5" s="1"/>
  <c r="G28" i="3" l="1"/>
  <c r="G27" i="2"/>
  <c r="G24" i="2"/>
  <c r="G158" i="2" l="1"/>
  <c r="G159" i="2"/>
  <c r="G161" i="2"/>
  <c r="G172" i="2"/>
  <c r="G182" i="2"/>
  <c r="F9" i="4"/>
  <c r="H8" i="5" l="1"/>
  <c r="J10" i="5"/>
  <c r="J8" i="5"/>
  <c r="K32" i="3"/>
  <c r="K34" i="3"/>
  <c r="K33" i="3"/>
  <c r="H9" i="5"/>
  <c r="H10" i="5"/>
  <c r="H11" i="5"/>
  <c r="I9" i="3"/>
  <c r="I11" i="2"/>
  <c r="J11" i="5"/>
  <c r="H31" i="4"/>
  <c r="J31" i="4"/>
  <c r="H30" i="4"/>
  <c r="J30" i="4"/>
  <c r="H29" i="4"/>
  <c r="J29" i="4"/>
  <c r="F12" i="4"/>
  <c r="J12" i="4" s="1"/>
  <c r="F35" i="4"/>
  <c r="F34" i="4"/>
  <c r="F33" i="4"/>
  <c r="H26" i="4"/>
  <c r="J26" i="4" s="1"/>
  <c r="H25" i="4"/>
  <c r="J25" i="4" s="1"/>
  <c r="H24" i="4"/>
  <c r="J24" i="4"/>
  <c r="H22" i="4"/>
  <c r="J22" i="4"/>
  <c r="H20" i="4"/>
  <c r="F20" i="4"/>
  <c r="J20" i="4" s="1"/>
  <c r="K19" i="4" s="1"/>
  <c r="C65" i="6" s="1"/>
  <c r="F11" i="4"/>
  <c r="H15" i="4"/>
  <c r="F15" i="4"/>
  <c r="J15" i="4" s="1"/>
  <c r="H18" i="4"/>
  <c r="F18" i="4"/>
  <c r="J18" i="4" s="1"/>
  <c r="H13" i="4"/>
  <c r="F13" i="4"/>
  <c r="J13" i="4" s="1"/>
  <c r="H12" i="4"/>
  <c r="G25" i="3"/>
  <c r="K25" i="3" s="1"/>
  <c r="I10" i="3"/>
  <c r="I12" i="3"/>
  <c r="G12" i="3"/>
  <c r="K12" i="3" s="1"/>
  <c r="L11" i="3" s="1"/>
  <c r="C57" i="6" s="1"/>
  <c r="I33" i="3"/>
  <c r="I34" i="3"/>
  <c r="I32" i="3"/>
  <c r="I14" i="3"/>
  <c r="K14" i="3" s="1"/>
  <c r="L13" i="3" s="1"/>
  <c r="C58" i="6" s="1"/>
  <c r="G14" i="3"/>
  <c r="K29" i="3"/>
  <c r="I29" i="3"/>
  <c r="I28" i="3"/>
  <c r="K28" i="3"/>
  <c r="I27" i="3"/>
  <c r="K27" i="3" s="1"/>
  <c r="G27" i="3"/>
  <c r="G24" i="3"/>
  <c r="K24" i="3" s="1"/>
  <c r="G23" i="3"/>
  <c r="I22" i="3"/>
  <c r="G22" i="3"/>
  <c r="K22" i="3" s="1"/>
  <c r="I19" i="3"/>
  <c r="G19" i="3"/>
  <c r="K19" i="3" s="1"/>
  <c r="I16" i="3"/>
  <c r="G16" i="3"/>
  <c r="K16" i="3" s="1"/>
  <c r="G10" i="3"/>
  <c r="K10" i="3" s="1"/>
  <c r="G9" i="3"/>
  <c r="K9" i="3" s="1"/>
  <c r="I182" i="2"/>
  <c r="J182" i="2"/>
  <c r="I181" i="2"/>
  <c r="G181" i="2"/>
  <c r="J181" i="2" s="1"/>
  <c r="I180" i="2"/>
  <c r="G180" i="2"/>
  <c r="J180" i="2" s="1"/>
  <c r="I179" i="2"/>
  <c r="G179" i="2"/>
  <c r="J179" i="2" s="1"/>
  <c r="G157" i="2"/>
  <c r="G155" i="2"/>
  <c r="I153" i="2"/>
  <c r="J153" i="2"/>
  <c r="I152" i="2"/>
  <c r="G152" i="2"/>
  <c r="J152" i="2" s="1"/>
  <c r="I151" i="2"/>
  <c r="G151" i="2"/>
  <c r="J151" i="2" s="1"/>
  <c r="I150" i="2"/>
  <c r="G150" i="2"/>
  <c r="J150" i="2" s="1"/>
  <c r="I149" i="2"/>
  <c r="G149" i="2"/>
  <c r="J149" i="2" s="1"/>
  <c r="I148" i="2"/>
  <c r="G148" i="2"/>
  <c r="J148" i="2" s="1"/>
  <c r="I147" i="2"/>
  <c r="G147" i="2"/>
  <c r="J147" i="2" s="1"/>
  <c r="I145" i="2"/>
  <c r="G145" i="2"/>
  <c r="J145" i="2" s="1"/>
  <c r="I144" i="2"/>
  <c r="G144" i="2"/>
  <c r="J144" i="2" s="1"/>
  <c r="I143" i="2"/>
  <c r="G143" i="2"/>
  <c r="J143" i="2" s="1"/>
  <c r="I142" i="2"/>
  <c r="G142" i="2"/>
  <c r="J142" i="2" s="1"/>
  <c r="G141" i="2"/>
  <c r="J141" i="2" s="1"/>
  <c r="I140" i="2"/>
  <c r="G140" i="2"/>
  <c r="J140" i="2" s="1"/>
  <c r="I139" i="2"/>
  <c r="G139" i="2"/>
  <c r="J139" i="2" s="1"/>
  <c r="G138" i="2"/>
  <c r="J138" i="2" s="1"/>
  <c r="I137" i="2"/>
  <c r="G137" i="2"/>
  <c r="J137" i="2" s="1"/>
  <c r="G135" i="2"/>
  <c r="G134" i="2"/>
  <c r="G132" i="2"/>
  <c r="G131" i="2"/>
  <c r="G130" i="2"/>
  <c r="G128" i="2"/>
  <c r="J128" i="2" s="1"/>
  <c r="G127" i="2"/>
  <c r="J127" i="2" s="1"/>
  <c r="I126" i="2"/>
  <c r="G126" i="2"/>
  <c r="J126" i="2" s="1"/>
  <c r="I124" i="2"/>
  <c r="G124" i="2"/>
  <c r="J124" i="2" s="1"/>
  <c r="I123" i="2"/>
  <c r="G123" i="2"/>
  <c r="J123" i="2" s="1"/>
  <c r="I121" i="2"/>
  <c r="J121" i="2"/>
  <c r="I119" i="2"/>
  <c r="G119" i="2"/>
  <c r="J119" i="2" s="1"/>
  <c r="I118" i="2"/>
  <c r="G118" i="2"/>
  <c r="J118" i="2" s="1"/>
  <c r="I116" i="2"/>
  <c r="G116" i="2"/>
  <c r="J116" i="2" s="1"/>
  <c r="I115" i="2"/>
  <c r="G115" i="2"/>
  <c r="J115" i="2" s="1"/>
  <c r="G114" i="2"/>
  <c r="J114" i="2" s="1"/>
  <c r="G113" i="2"/>
  <c r="J113" i="2" s="1"/>
  <c r="G112" i="2"/>
  <c r="J112" i="2" s="1"/>
  <c r="I110" i="2"/>
  <c r="G110" i="2"/>
  <c r="J110" i="2" s="1"/>
  <c r="I104" i="2"/>
  <c r="G104" i="2"/>
  <c r="J104" i="2" s="1"/>
  <c r="I103" i="2"/>
  <c r="G103" i="2"/>
  <c r="J103" i="2" s="1"/>
  <c r="I102" i="2"/>
  <c r="G102" i="2"/>
  <c r="J102" i="2" s="1"/>
  <c r="G93" i="2"/>
  <c r="J93" i="2" s="1"/>
  <c r="I91" i="2"/>
  <c r="I99" i="2"/>
  <c r="G99" i="2"/>
  <c r="J99" i="2" s="1"/>
  <c r="I98" i="2"/>
  <c r="G98" i="2"/>
  <c r="J98" i="2" s="1"/>
  <c r="I97" i="2"/>
  <c r="J97" i="2" s="1"/>
  <c r="G97" i="2"/>
  <c r="I96" i="2"/>
  <c r="G96" i="2"/>
  <c r="J96" i="2" s="1"/>
  <c r="I95" i="2"/>
  <c r="G95" i="2"/>
  <c r="J95" i="2" s="1"/>
  <c r="I93" i="2"/>
  <c r="I92" i="2"/>
  <c r="G92" i="2"/>
  <c r="J92" i="2" s="1"/>
  <c r="G91" i="2"/>
  <c r="J91" i="2" s="1"/>
  <c r="I90" i="2"/>
  <c r="G90" i="2"/>
  <c r="J90" i="2" s="1"/>
  <c r="I88" i="2"/>
  <c r="G88" i="2"/>
  <c r="J88" i="2" s="1"/>
  <c r="I87" i="2"/>
  <c r="G87" i="2"/>
  <c r="J87" i="2" s="1"/>
  <c r="I86" i="2"/>
  <c r="G86" i="2"/>
  <c r="J86" i="2" s="1"/>
  <c r="I78" i="2"/>
  <c r="I77" i="2"/>
  <c r="J77" i="2" s="1"/>
  <c r="K117" i="2" l="1"/>
  <c r="C45" i="6" s="1"/>
  <c r="K129" i="2"/>
  <c r="C48" i="6" s="1"/>
  <c r="K108" i="2"/>
  <c r="C43" i="6" s="1"/>
  <c r="K178" i="2"/>
  <c r="L31" i="3"/>
  <c r="C62" i="6" s="1"/>
  <c r="K8" i="4"/>
  <c r="K122" i="2"/>
  <c r="C46" i="6" s="1"/>
  <c r="L8" i="3"/>
  <c r="L21" i="3"/>
  <c r="C60" i="6" s="1"/>
  <c r="C66" i="6"/>
  <c r="L15" i="3"/>
  <c r="C59" i="6" s="1"/>
  <c r="K94" i="2"/>
  <c r="C39" i="6" s="1"/>
  <c r="K89" i="2"/>
  <c r="C38" i="6" s="1"/>
  <c r="K85" i="2"/>
  <c r="C37" i="6" s="1"/>
  <c r="K125" i="2"/>
  <c r="C47" i="6" s="1"/>
  <c r="C68" i="6"/>
  <c r="K136" i="2"/>
  <c r="C50" i="6" s="1"/>
  <c r="K101" i="2"/>
  <c r="K111" i="2"/>
  <c r="C44" i="6" s="1"/>
  <c r="K146" i="2"/>
  <c r="C51" i="6" s="1"/>
  <c r="L26" i="3"/>
  <c r="C61" i="6" s="1"/>
  <c r="L178" i="2"/>
  <c r="C54" i="6" s="1"/>
  <c r="K7" i="5"/>
  <c r="C70" i="6" s="1"/>
  <c r="C69" i="6" s="1"/>
  <c r="I65" i="2"/>
  <c r="I72" i="2"/>
  <c r="I83" i="2"/>
  <c r="G83" i="2"/>
  <c r="J83" i="2" s="1"/>
  <c r="I82" i="2"/>
  <c r="G82" i="2"/>
  <c r="J82" i="2" s="1"/>
  <c r="I81" i="2"/>
  <c r="J81" i="2"/>
  <c r="I80" i="2"/>
  <c r="J80" i="2" s="1"/>
  <c r="G80" i="2"/>
  <c r="I79" i="2"/>
  <c r="J79" i="2" s="1"/>
  <c r="G78" i="2"/>
  <c r="J78" i="2" s="1"/>
  <c r="G77" i="2"/>
  <c r="G70" i="2"/>
  <c r="J70" i="2" s="1"/>
  <c r="G72" i="2"/>
  <c r="J72" i="2" s="1"/>
  <c r="G71" i="2"/>
  <c r="I70" i="2"/>
  <c r="I69" i="2"/>
  <c r="G69" i="2"/>
  <c r="J69" i="2" s="1"/>
  <c r="I68" i="2"/>
  <c r="G68" i="2"/>
  <c r="J68" i="2" s="1"/>
  <c r="I66" i="2"/>
  <c r="J66" i="2"/>
  <c r="J65" i="2"/>
  <c r="I63" i="2"/>
  <c r="J63" i="2"/>
  <c r="I62" i="2"/>
  <c r="J62" i="2"/>
  <c r="I61" i="2"/>
  <c r="J61" i="2"/>
  <c r="I60" i="2"/>
  <c r="J60" i="2"/>
  <c r="I58" i="2"/>
  <c r="J58" i="2"/>
  <c r="I57" i="2"/>
  <c r="J57" i="2"/>
  <c r="I56" i="2"/>
  <c r="J56" i="2"/>
  <c r="I55" i="2"/>
  <c r="J55" i="2"/>
  <c r="I54" i="2"/>
  <c r="G54" i="2"/>
  <c r="J54" i="2" s="1"/>
  <c r="G51" i="2"/>
  <c r="G50" i="2"/>
  <c r="I49" i="2"/>
  <c r="G49" i="2"/>
  <c r="J49" i="2" s="1"/>
  <c r="G47" i="2"/>
  <c r="G46" i="2"/>
  <c r="G45" i="2"/>
  <c r="G43" i="2"/>
  <c r="G42" i="2"/>
  <c r="G40" i="2"/>
  <c r="G39" i="2"/>
  <c r="G37" i="2"/>
  <c r="G35" i="2"/>
  <c r="G34" i="2"/>
  <c r="I31" i="2"/>
  <c r="G31" i="2"/>
  <c r="J31" i="2" s="1"/>
  <c r="I30" i="2"/>
  <c r="G30" i="2"/>
  <c r="J30" i="2" s="1"/>
  <c r="I23" i="2"/>
  <c r="C64" i="6" l="1"/>
  <c r="C56" i="6"/>
  <c r="C55" i="6" s="1"/>
  <c r="L7" i="3"/>
  <c r="C41" i="6"/>
  <c r="K29" i="2"/>
  <c r="C22" i="6" s="1"/>
  <c r="K73" i="2"/>
  <c r="C34" i="6" s="1"/>
  <c r="L84" i="2"/>
  <c r="C36" i="6"/>
  <c r="K67" i="2"/>
  <c r="C33" i="6" s="1"/>
  <c r="K76" i="2"/>
  <c r="C35" i="6" s="1"/>
  <c r="K64" i="2"/>
  <c r="C32" i="6" s="1"/>
  <c r="K59" i="2"/>
  <c r="C31" i="6" s="1"/>
  <c r="K53" i="2"/>
  <c r="L52" i="2" l="1"/>
  <c r="C30" i="6"/>
  <c r="C29" i="6" s="1"/>
  <c r="G19" i="2"/>
  <c r="J19" i="2" s="1"/>
  <c r="I20" i="2"/>
  <c r="I19" i="2"/>
  <c r="I28" i="2"/>
  <c r="G28" i="2"/>
  <c r="J28" i="2" s="1"/>
  <c r="I27" i="2"/>
  <c r="J27" i="2"/>
  <c r="I26" i="2"/>
  <c r="G26" i="2"/>
  <c r="J26" i="2" s="1"/>
  <c r="I24" i="2"/>
  <c r="J24" i="2"/>
  <c r="G23" i="2"/>
  <c r="J23" i="2" s="1"/>
  <c r="G21" i="2"/>
  <c r="G20" i="2"/>
  <c r="J20" i="2" s="1"/>
  <c r="I12" i="2"/>
  <c r="G11" i="2"/>
  <c r="G13" i="2"/>
  <c r="G12" i="2"/>
  <c r="C13" i="6"/>
  <c r="K18" i="2" l="1"/>
  <c r="C19" i="6" s="1"/>
  <c r="K25" i="2"/>
  <c r="C21" i="6" s="1"/>
  <c r="K22" i="2"/>
  <c r="C20" i="6" s="1"/>
  <c r="C10" i="6"/>
  <c r="J11" i="2"/>
  <c r="J12" i="2"/>
  <c r="C12" i="6"/>
  <c r="C11" i="6"/>
  <c r="C9" i="6"/>
  <c r="K10" i="2" l="1"/>
  <c r="C8" i="6"/>
  <c r="C7" i="6" s="1"/>
  <c r="G16" i="2"/>
  <c r="J16" i="2" s="1"/>
  <c r="I16" i="2"/>
  <c r="G15" i="2"/>
  <c r="J15" i="2" s="1"/>
  <c r="I15" i="2"/>
  <c r="G17" i="2"/>
  <c r="K14" i="2" l="1"/>
  <c r="C18" i="6" s="1"/>
  <c r="C17" i="6"/>
  <c r="L9" i="2" l="1"/>
  <c r="C16" i="6"/>
  <c r="H34" i="4" l="1"/>
  <c r="H35" i="4"/>
  <c r="J35" i="4"/>
  <c r="J34" i="4"/>
  <c r="H33" i="4"/>
  <c r="J33" i="4"/>
  <c r="K32" i="4" l="1"/>
  <c r="C67" i="6" s="1"/>
  <c r="C63" i="6" s="1"/>
  <c r="I166" i="2"/>
  <c r="J166" i="2"/>
  <c r="I162" i="2"/>
  <c r="J162" i="2"/>
  <c r="I163" i="2"/>
  <c r="J163" i="2"/>
  <c r="I161" i="2"/>
  <c r="J161" i="2"/>
  <c r="J157" i="2"/>
  <c r="I157" i="2"/>
  <c r="J165" i="2"/>
  <c r="I165" i="2"/>
  <c r="J164" i="2"/>
  <c r="I164" i="2"/>
  <c r="J167" i="2"/>
  <c r="I167" i="2"/>
  <c r="I158" i="2"/>
  <c r="J158" i="2"/>
  <c r="I159" i="2"/>
  <c r="J159" i="2"/>
  <c r="I160" i="2"/>
  <c r="J160" i="2"/>
  <c r="J168" i="2"/>
  <c r="I168" i="2"/>
  <c r="J169" i="2"/>
  <c r="I169" i="2"/>
  <c r="J170" i="2"/>
  <c r="I170" i="2"/>
  <c r="J172" i="2"/>
  <c r="I172" i="2"/>
  <c r="I171" i="2"/>
  <c r="J171" i="2"/>
  <c r="K7" i="4" l="1"/>
  <c r="K156" i="2"/>
  <c r="C52" i="6" s="1"/>
  <c r="J175" i="2"/>
  <c r="I175" i="2"/>
  <c r="J174" i="2"/>
  <c r="I174" i="2"/>
  <c r="K173" i="2" l="1"/>
  <c r="C53" i="6" s="1"/>
  <c r="C40" i="6" s="1"/>
  <c r="L100" i="2"/>
  <c r="I50" i="2"/>
  <c r="J40" i="2"/>
  <c r="I40" i="2"/>
  <c r="J46" i="2"/>
  <c r="I46" i="2"/>
  <c r="J47" i="2"/>
  <c r="I47" i="2"/>
  <c r="I39" i="2"/>
  <c r="J35" i="2"/>
  <c r="I35" i="2"/>
  <c r="J51" i="2"/>
  <c r="I51" i="2"/>
  <c r="I42" i="2"/>
  <c r="J34" i="2"/>
  <c r="K33" i="2" s="1"/>
  <c r="I34" i="2"/>
  <c r="I45" i="2"/>
  <c r="J37" i="2"/>
  <c r="I37" i="2"/>
  <c r="J43" i="2"/>
  <c r="K41" i="2" s="1"/>
  <c r="C26" i="6" s="1"/>
  <c r="I43" i="2"/>
  <c r="J36" i="2"/>
  <c r="I36" i="2"/>
  <c r="J50" i="2"/>
  <c r="J39" i="2"/>
  <c r="J42" i="2"/>
  <c r="J45" i="2"/>
  <c r="K38" i="2" l="1"/>
  <c r="C25" i="6" s="1"/>
  <c r="K44" i="2"/>
  <c r="C27" i="6" s="1"/>
  <c r="K48" i="2"/>
  <c r="C28" i="6" s="1"/>
  <c r="C24" i="6"/>
  <c r="C23" i="6" l="1"/>
  <c r="C15" i="6" s="1"/>
  <c r="C14" i="6" s="1"/>
  <c r="C6" i="6" s="1"/>
  <c r="L32" i="2"/>
  <c r="L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9" authorId="0" shapeId="0" xr:uid="{98C2C135-FFE4-4FA5-93F8-C4B86D219C5E}">
      <text>
        <r>
          <rPr>
            <sz val="11"/>
            <color theme="1"/>
            <rFont val="Calibri"/>
            <family val="2"/>
            <scheme val="minor"/>
          </rPr>
          <t>======
ID#AAAAyr8jvbY
ASUS    (2023-06-09 01:16:34)
4 Kali Jumlah Posyandu</t>
        </r>
      </text>
    </comment>
    <comment ref="F20" authorId="0" shapeId="0" xr:uid="{66913256-D575-4985-81B7-812556A28FF3}">
      <text>
        <r>
          <rPr>
            <sz val="11"/>
            <color theme="1"/>
            <rFont val="Calibri"/>
            <family val="2"/>
            <scheme val="minor"/>
          </rPr>
          <t>======
ID#AAAAyr8jvbk
ASUS    (2023-06-09 01:16:34)
2 kali jumlah institusi pendidikan yang dikaji PHBS)</t>
        </r>
      </text>
    </comment>
    <comment ref="F21" authorId="0" shapeId="0" xr:uid="{61964DFC-39A5-4119-81B3-4011824ABC48}">
      <text>
        <r>
          <rPr>
            <sz val="11"/>
            <color theme="1"/>
            <rFont val="Calibri"/>
            <family val="2"/>
            <scheme val="minor"/>
          </rPr>
          <t>======
ID#AAAAyr8jvbc
ASUS    (2023-06-09 01:16:34)
2 kali jumlah pondok pesantren yang dikaji PHBS</t>
        </r>
      </text>
    </comment>
    <comment ref="F28" authorId="0" shapeId="0" xr:uid="{6ED9DD28-97F9-4A36-9D6B-0F982F15092D}">
      <text>
        <r>
          <rPr>
            <sz val="11"/>
            <color theme="1"/>
            <rFont val="Calibri"/>
            <family val="2"/>
            <scheme val="minor"/>
          </rPr>
          <t>======
ID#AAAAyr8jvbg
ASUS    (2023-06-09 01:16:34)
minimal 2 (dua) kali dalam satu tahun/ desa</t>
        </r>
      </text>
    </comment>
  </commentList>
</comments>
</file>

<file path=xl/sharedStrings.xml><?xml version="1.0" encoding="utf-8"?>
<sst xmlns="http://schemas.openxmlformats.org/spreadsheetml/2006/main" count="1915" uniqueCount="1212">
  <si>
    <t>Lampiran 2</t>
  </si>
  <si>
    <t>No</t>
  </si>
  <si>
    <t>Jenis Variabel</t>
  </si>
  <si>
    <t>Definisi Operasional</t>
  </si>
  <si>
    <t>Skala</t>
  </si>
  <si>
    <t>Nilai 0</t>
  </si>
  <si>
    <t>Nilai 4</t>
  </si>
  <si>
    <t>Nilai 7</t>
  </si>
  <si>
    <t>Nilai 10</t>
  </si>
  <si>
    <t>(1)</t>
  </si>
  <si>
    <t>(2)</t>
  </si>
  <si>
    <t>(3)</t>
  </si>
  <si>
    <t>(4)</t>
  </si>
  <si>
    <t>(5)</t>
  </si>
  <si>
    <t>(6)</t>
  </si>
  <si>
    <t>(7)</t>
  </si>
  <si>
    <t xml:space="preserve">1.1.Manajemen Umum </t>
  </si>
  <si>
    <t>Rencana 5 (lima) tahunan</t>
  </si>
  <si>
    <t>Rencana 5 (lima) tahunan sesuai visi, misi, tugas pokok dan fungsi Puskesmas bedasarkan pada analisis kebutuhan masyarakat akan pelayanan kesehatan sebagai upaya untuk meningkatkan derajat kesehatan masyarakat secara optimal</t>
  </si>
  <si>
    <t>Tidak ada rencana 5 (lima) tahunan</t>
  </si>
  <si>
    <t>Ada, tidak sesuai visi, misi, tugas pokok dan fungsi Puskesmas, tidak berdasarkan pada analisis kebutuhan masyarakat</t>
  </si>
  <si>
    <t>Ada, sesuai visi, misi, tugas pokok dan fungsi Puskesmas, tidak berdasarkan pada analisis kebutuhan masyarakat</t>
  </si>
  <si>
    <t>Ada, sesuai visi, misi, tugas pokok dan fungsi Puskesmas bedasarkan pada analisis kebutuhan masyarakat</t>
  </si>
  <si>
    <t xml:space="preserve">RUK Tahun (N+1)  </t>
  </si>
  <si>
    <t>RUK (Rencana Usulan Kegiatan) Puskesmas untuk tahun yad  ( N+1) dibuat berdasarkan analisa situasi, kebutuhan dan harapan  masyarakat dan hasil capaian kinerja, prioritas serta data 2 ( dua) tahun yang lalu dan data survei, disahkan oleh Kepala Puskesmas</t>
  </si>
  <si>
    <t>Tidak ada</t>
  </si>
  <si>
    <t xml:space="preserve">Ada , tidak sesuai visi, misi, tugas pokok dan fungsi Puskesmas,tidak berdasarkan pada analisis kebutuhan masyarakat dan kinerja </t>
  </si>
  <si>
    <t xml:space="preserve">Ada,  sesuai visi, misi, tugas pokok dan fungsi Puskesmas, tidak berdasarkan pada analisis kebutuhan masyarakat dan kinerja </t>
  </si>
  <si>
    <t>Ada , sesuai visi, misi, tugas pokok dan fungsi Puskesmas, bedasarkan pada analisis kebutuhan masyarakat dan kinerja , ada pengesahan kepala Puskesmas</t>
  </si>
  <si>
    <t>RPK/POA bulanan/tahunan</t>
  </si>
  <si>
    <t xml:space="preserve">Dokumen Rencana Pelaksanaan Kegiatan (RPK), sebagai acuan pelaksanaan kegiatan yang akan dijadwalkan selama 1 (satu) tahun dengan memperhatikan visi misi dan tata nilai Puskesmas </t>
  </si>
  <si>
    <t>Tidak ada Ada dokumen RPK</t>
  </si>
  <si>
    <t>dokumen RPK tidak sesuai RUK, Tidak ada pembahasan dengan LP maupun LS, dalam penentuan jadwal</t>
  </si>
  <si>
    <t>dokumen RPK sesuai RUK, tidak ada pembahasan dengan LP maupun LS dalam penentuan jadwal</t>
  </si>
  <si>
    <t>dokumen RPK sesuai RUK, ada pembahasan dengan LP maupun LS dalam penentuan jadwal</t>
  </si>
  <si>
    <t>Lokakarya Mini bulanan (lokmin bulanan)</t>
  </si>
  <si>
    <r>
      <t>Rapat Lintas Program  (LP) membahas review kegiatan, permasalahan LP,rencana tindak lanjut (c</t>
    </r>
    <r>
      <rPr>
        <i/>
        <sz val="12"/>
        <color rgb="FF000000"/>
        <rFont val="Tahoma"/>
        <family val="2"/>
      </rPr>
      <t>orrective action</t>
    </r>
    <r>
      <rPr>
        <sz val="12"/>
        <color rgb="FF000000"/>
        <rFont val="Tahoma"/>
        <family val="2"/>
      </rPr>
      <t>) ,  beserta tindak lanjutnyasecara lengkap. Dokumen lokmin awal tahun memuat penyusunan POA, briefing penjelasan program dari Kapus dan detail pelaksanaan program (target, strategi pelaksana) dan kesepakatan pegawai Puskesmas. Notulen memuat evaluasi bulanan pelaksanaan kegiatan dan langkah koreksi.</t>
    </r>
  </si>
  <si>
    <t xml:space="preserve">Tidak ada dokumen </t>
  </si>
  <si>
    <t>Ada, dokumen tidak memuat evaluasi bulanan pelaksanaan kegiatan dan langkah koreksi</t>
  </si>
  <si>
    <t>Ada, dokumen yang menindaklanjuti hasil lokmin bulan sebelumnya</t>
  </si>
  <si>
    <t>Lokakarya Mini tribulanan  (lokmin tribulanan)</t>
  </si>
  <si>
    <t>Rapat lintas program dan Lintas Sektor (LS) membahas review kegiatan, permasalahan LP, corrective action,  beserta tindak lanjutnya  secara lengkap tindak lanjutnya. Dokumen memuat evaluasi kegiatan yang memerlukan peran LS</t>
  </si>
  <si>
    <t>Ada Dokumen corrective action,dafar hadir, notulen hasil  lokmin,undangan rapat lokmin lengkap</t>
  </si>
  <si>
    <t>Ada, dokumen yang menindaklanjuti hasil lokmin yang melibatkan peran serta LS</t>
  </si>
  <si>
    <t>Survei Keluarga Sehat (12 Indikator Keluarga Sehat)</t>
  </si>
  <si>
    <t xml:space="preserve">Survei meliputi: 
1. KB          
2. Persalinan di faskes            
3. Bayi dengan imunisasi dasar lengkap, bayi dengan ASI eksklusif                    
4. Balita ditimbang                     
5. Penderita TB, hipertensi dan gangguan jiwa mendapat pengobatan, tidak merokok, JKN, air bersih dan jamban sehat  yang dilakukan oleh Puskesmas dan jaringannya </t>
  </si>
  <si>
    <t xml:space="preserve">survei kurang dari 30% </t>
  </si>
  <si>
    <t>Dilakukan survei &gt;30%, dilakukan intervensi awal dan dilakukan entri data aplikasi</t>
  </si>
  <si>
    <t>Dilakukan survei &gt;30%,dilakukan intervensi awal, dilakukakan entri data apalikasi dan dilakukan analisis hasil survei</t>
  </si>
  <si>
    <t>Dilakukan survei  minimal lebih dari 30%, telah dilakukan intervensi awal, dilakukan entri data aplikasi, dilakukan analisis data dan dilakukan intervensi lanjut`</t>
  </si>
  <si>
    <t>Survei Mawas Diri (SMD)</t>
  </si>
  <si>
    <t xml:space="preserve">Kegiatan  mengenali keadaan dan masalah yang dihadapi masyarakat serta potensi yang dimiliki masyarakat untuk mengatasi masalah tersebut.Hasil identifikasi dianalisis untuk menyusun upaya, selanjutnya masyarakat dapat digerakkan untuk berperan serta aktif untuk memperkuat upaya perbaikannya sesuai batas kewenangannya.. </t>
  </si>
  <si>
    <t>Tidak dilakukan</t>
  </si>
  <si>
    <t>Ada dokumen KA dan SOP SMD tapi belum dilaksanakan</t>
  </si>
  <si>
    <t>Ada dokumen KA dan SOP SMD, dilaksanakan SMD, ada rekapan hasil SMD, tidak ada analisis dan jenis kegiatan yang dibutuhkan masyarakat</t>
  </si>
  <si>
    <t>Ada SOP SMD, kerangka acuan, pelaksanaan, rekapan, analisis dan jenis kegiatan yang dibutuhkan masyarakat dari hasil SMD.</t>
  </si>
  <si>
    <t>Pertemuan dengan masyarakat dalam rangka pemberdayaan Individu, Keluarga dan Kelompok</t>
  </si>
  <si>
    <t xml:space="preserve">Pertemuan dengan masyarakat  dalam rangka pemberdayaan (meliputi keterlibatan dalam perencanaan, pelaksanaan dan evaluasi kegiatan) Individu, Keluarga dan Kelompok. </t>
  </si>
  <si>
    <t>Tidak ada pertemuan</t>
  </si>
  <si>
    <t>Ada pertemuan minimal 2 kali setahun</t>
  </si>
  <si>
    <t>ada pertemuan minimal 2 kali setahun, ada hasil pembahasan untuk pemberdayaan masyarakat</t>
  </si>
  <si>
    <t>ada pertemuan minimal 2 kali setahun, ada hasil pembahasan pemberdayaan masyarakat, ada tindaklanjut pemberdayaan</t>
  </si>
  <si>
    <t xml:space="preserve">SK Tim mutu  dan uraian tugas </t>
  </si>
  <si>
    <t>Surat Keputusan Kepala Puskesmas  dan uraian tugas Tim Mutu  (UKM Essensial, UKM pengembangan , UKP, Administrasi Manajemen, Mutu, PPI, Keselamatan Pasien serta Audit Internal), serta dilaksanakan evaluasi terhadap pelaksanaan uraian tugas minimal sekali setahun</t>
  </si>
  <si>
    <t>Tidak ada SK Tim, uraian tugas serta evaluasi pelaksanaan uraian tugas</t>
  </si>
  <si>
    <t>Ada SK Tim Mutu, tidak ada  uraian tugas dan evaluasi pelaksanaan uraian tugas</t>
  </si>
  <si>
    <t>Ada SK Tim  Mutu dan  uraian tugas, tidak ada  evaluasi pelaksanaan uraian tugas</t>
  </si>
  <si>
    <t>Ada SK Tim Mutu   dan uraian tugas serta evaluasi pelaksanaan uraian tugas</t>
  </si>
  <si>
    <t>Rencana program mutu dan keselamatan pasien</t>
  </si>
  <si>
    <t>Rencana kegiatan perbaikan/peningkatan mutu dan keselamatan pasien lengkap dengan sumber dana dan sumber daya, jadwal audit internal,kerangka acuan kegiatan dan notulen serta bukti pelaksanaan serta evaluasinya</t>
  </si>
  <si>
    <t>Tidak ada dokumen rencana program mutu dan keselamatan pasien</t>
  </si>
  <si>
    <t>Ada rencana pelaksanaan kegiatan perbaikan dan peningkatan mutu,  tidak ada bukti pelaksanaan dan evaluasinya</t>
  </si>
  <si>
    <t xml:space="preserve">Ada sebagian dokumen rencana pelaksanaan kegiatan perbaikan dan peningkatan mutu dan bukti pelaksanaan dan evaluasi belum dilakukan </t>
  </si>
  <si>
    <t>Ada dokumen rencana program mutu dan keselamatan pasien lengkap dengan sumber dana, sumber daya serta bukti pelaksanaan dan evaluasinya</t>
  </si>
  <si>
    <t xml:space="preserve">Pelaksanaan  manajemen risiko di Puskesmas </t>
  </si>
  <si>
    <t>proses identifikasi, evaluasi, pengendalian dan meminimalkan risiko di Puskesms</t>
  </si>
  <si>
    <t>Tidak melakukan proses manajemen risiko dan tidak ada dokumen register risiko</t>
  </si>
  <si>
    <t xml:space="preserve">Melakukan identifikasi risiko, tidak ada upaya pencegahan dan penanganan risiko, tidak ada dokumen register risiko </t>
  </si>
  <si>
    <t>Melakukan identifikasi risiko, ada upaya pencegahan dan penanganan risiko, ada dokumen register risiko  tidak lengkap</t>
  </si>
  <si>
    <t>Melakukan identifikasi risiko, ada upaya pencegahan dan penanganan risiko, ada dokumen register risiko  lengkap</t>
  </si>
  <si>
    <t>Pengelolaan Pengaduan Pelanggan</t>
  </si>
  <si>
    <t xml:space="preserve">Pengelolaan pengaduan meliputi menyediakan media pengaduan, mencatat pengaduan (dari Kotak saran, sms, email, wa, telpon dll), melakukan analisa, membuat rencana tindak lanjut, tindak lanjut dan evaluasi </t>
  </si>
  <si>
    <t xml:space="preserve">tidak ada  media pengaduan, data ada, analisa lengkap dengan rencana tindak lanjut, tindak lanjut dan evaluasi </t>
  </si>
  <si>
    <t xml:space="preserve">Media dan data tidak lengkap, ada analisa , rencana  tindak lanjut , tindak lanjut dan evaluasi belum ada </t>
  </si>
  <si>
    <t xml:space="preserve">Media dan data ata lengkap,analisa  sebagian ada , rencana  tindak lanjut, tindak lanjut dan evaluasi belum ada . </t>
  </si>
  <si>
    <t xml:space="preserve">Media dan data ada, analisa lengkap dengan rencana tindak lanjut, tindak lanjut dan evaluasi </t>
  </si>
  <si>
    <t xml:space="preserve">Survei Kepuasan Masyarakat </t>
  </si>
  <si>
    <t xml:space="preserve">Survei Kepuasan adalah kegiatan yang dilakukan untuk mengetahui kepuasan masyarakat terhadap kegiatan/pelayanan yang telah dilakukan Puskesmas </t>
  </si>
  <si>
    <t>Tidak ada data</t>
  </si>
  <si>
    <t xml:space="preserve">Data tidak lengkap,analisa , rencana  tindak lanjut, tindak lanjut dan evaluasi  serta publikasi belum ada </t>
  </si>
  <si>
    <t xml:space="preserve">Data lengkap,analisa  sebagian ada , rencana  tindak lanjut, tindak lanjut dan evaluasi serta publikasi  belum ada </t>
  </si>
  <si>
    <t>Data ada, analisa lengkap dengan rencana tindak lanjut, tindak lanjut dan evaluasi serta telah dipublikasikan</t>
  </si>
  <si>
    <t xml:space="preserve">Audit internal </t>
  </si>
  <si>
    <t>Pemantauan mutu layanan sepanjang tahun, meliputi audit  input, proses (PDCA) dan output pelayanan, ada jadwal selama setahun, instrumen, hasil dan  laporan audit internal</t>
  </si>
  <si>
    <t xml:space="preserve">Tidak dilakukan audit internal </t>
  </si>
  <si>
    <t xml:space="preserve">Dilakukan, dokumen lengkap, tidak ada analisa, rencana tindak lanjut, tindak lanjut dan evaluasi </t>
  </si>
  <si>
    <t>Dilakukan, dokumen lengkap, ada analisa, rencana tindak lanjut,  tidak ada tindak lanjut dan evaluasi</t>
  </si>
  <si>
    <t>Dilakukan, dokumen lengkap, ada analisa, rencana tindak lanjut, tindak lanjut dan evaluasi</t>
  </si>
  <si>
    <t>Rapat Tinjauan Manajemen</t>
  </si>
  <si>
    <t>Rapat Tinjauan Manajemen (RTM) dilakukan minimal 2x/tahun untuk meninjau kinerja sistem manajemen mutu, dan kinerja pelayanan/ upaya Puskesmas untuk memastikan kelanjutan, kesesuaian, kecukupan, dan efektifitas sistem manajemen mutu dan sistem pelayanan, menghasilkan luaran rencana perbaikan serta peningkatan mutu</t>
  </si>
  <si>
    <t>Tidak ada RTM, dokumen dan rencana pelaksanaan kegiatan perbaikan dan peningkatan mutu</t>
  </si>
  <si>
    <r>
      <t>Dilakukan</t>
    </r>
    <r>
      <rPr>
        <u/>
        <sz val="12"/>
        <color rgb="FF000000"/>
        <rFont val="Tahoma"/>
        <family val="2"/>
      </rPr>
      <t xml:space="preserve"> </t>
    </r>
    <r>
      <rPr>
        <sz val="12"/>
        <color rgb="FF000000"/>
        <rFont val="Tahoma"/>
        <family val="2"/>
      </rPr>
      <t xml:space="preserve">1 kali setahun, dokumen  notulen, daftar hadir lengkap, ada analisa, rencana tindak lanjut (perbaikan/peningkatan mutu),belum ada  tindak lanjut dan evaluasi </t>
    </r>
  </si>
  <si>
    <t xml:space="preserve">Dilakukan 2 kali setahun, ada  notulen, daftar hadir, ada analisa, rencana tindak lanjut (perbaikan/peningkatan mutu), tindak lanjut dan belum dilakukan evaluasi </t>
  </si>
  <si>
    <t xml:space="preserve">Dilakukan &gt; 2 kali setahun, ada  notulen, daftar hadir, analisa, rencana tindak lanjut (perbaikan/peningkatan mutu), tindak lanjut dan evaluasi </t>
  </si>
  <si>
    <r>
      <t>Penyajian/</t>
    </r>
    <r>
      <rPr>
        <i/>
        <sz val="12"/>
        <color rgb="FF000000"/>
        <rFont val="Tahoma"/>
        <family val="2"/>
      </rPr>
      <t>updating</t>
    </r>
    <r>
      <rPr>
        <sz val="12"/>
        <color rgb="FF000000"/>
        <rFont val="Tahoma"/>
        <family val="2"/>
      </rPr>
      <t xml:space="preserve">  data dan informasi </t>
    </r>
  </si>
  <si>
    <r>
      <t>Penyajian/</t>
    </r>
    <r>
      <rPr>
        <i/>
        <sz val="12"/>
        <color theme="1"/>
        <rFont val="Tahoma"/>
        <family val="2"/>
      </rPr>
      <t>updating</t>
    </r>
    <r>
      <rPr>
        <sz val="12"/>
        <color theme="1"/>
        <rFont val="Tahoma"/>
        <family val="2"/>
      </rPr>
      <t xml:space="preserve"> data dan informasi tentang : capaian program (PKP), KS, hasil survei SMD, IKM,data dasar, data kematian ibu dan anak, status gizi , Kesehatan lingkungan, SPM, Pemantauan Standar Puskesmas</t>
    </r>
  </si>
  <si>
    <t>Tidak ada data dan pelaporan</t>
  </si>
  <si>
    <t xml:space="preserve">Kelengkapan data 50% </t>
  </si>
  <si>
    <t xml:space="preserve">Kelengkapan data75% </t>
  </si>
  <si>
    <t xml:space="preserve">Lengkap pencatatan dan pelaporan, benar </t>
  </si>
  <si>
    <t>1.2. Manajemen Peralatan dan Sarana Prasarana</t>
  </si>
  <si>
    <t xml:space="preserve">Kelengkapan dan Updating data Aplikasi  Sarana, Prasarana, Alat Kesehatan (ASPAK) </t>
  </si>
  <si>
    <t xml:space="preserve"> Nilai data kumulatif SPA  &gt;60 % dan &gt;50% berdasarkan data ASPAK yang telah diupdate secara berkala ( minimal 2 kali dalam setahun, tgl 30 Juni dan 31 Desember tahun berjalan ) dan telah divalidasi Dinkes Kab/Kota.</t>
  </si>
  <si>
    <t xml:space="preserve">Nilai data  kumulatif SPA  &lt; 60 % dan kelengkapan alat kesehatan &lt;50 % dan data ASPAK belum diupdate dan divalidasi Dinkes Kab/Kota </t>
  </si>
  <si>
    <t xml:space="preserve">Nilai data  kumulatif SPA  &lt;60 % dan kelengkapan alat kesehatan &lt;50 % berdasarkan data ASPAK yang sudah diupdate dan divalidasi Dinkes Kab/Kota </t>
  </si>
  <si>
    <t xml:space="preserve">Nilai data  kumulatif SPA  &gt;60 % dan kelengkapan alat kesehatan &lt;50 % berdasarkan data ASPAK yang sudah diupdate dan divalidasi Dinkes Kab/Kota </t>
  </si>
  <si>
    <t xml:space="preserve">Nilai data  kumulatif SPA  &gt;60 % dan kelengkapan alat kesehatan &gt; 50% berdasarkan data ASPAK yang sudah diupdate dan divalidasi Dinkes Kab/Kota </t>
  </si>
  <si>
    <t xml:space="preserve">Analisis data ASPAK dan rencana tindak lanjut </t>
  </si>
  <si>
    <t>Analisis data ASPAK  berisi ketersediaan Sarana , Prasarana dan alkes (SPA) di masing-masing ruangan dan kebutuhan SPA yang belum terpenuhi.Tindak lanjut berisi upaya yang akan dilakukan dalam pemenuhan kebutuhan SPA.</t>
  </si>
  <si>
    <t>Tidak ada analisis data</t>
  </si>
  <si>
    <t xml:space="preserve">Ada analisis data, rencana  tindak lanjut, tindak lanjut dan evaluasi belum ada </t>
  </si>
  <si>
    <t>Ada analisis data SPA , rencana  tindak lanjut, tidak ada tindak lanjut dan evaluasi</t>
  </si>
  <si>
    <t>Ada analisis data lengkap dengan rencana tindak lanjut, tindak lanjut dan evaluasi</t>
  </si>
  <si>
    <t>Pemeliharaan prasarana Puskesmas</t>
  </si>
  <si>
    <t>Pemeliharaan prasarana terjadwal  serta dilakukan, dilengkapi dengan jadwal dan bukti pelaksanaan</t>
  </si>
  <si>
    <t>Tidak ada jadwal pemeliharaan prasarana dan tidak dilakukan pemeliharaan</t>
  </si>
  <si>
    <t>Ada jadwal pemeliharaan dan tidak dilakukan pemeliharaan</t>
  </si>
  <si>
    <t>Ada jadwal pemeliharaan dan  dilakukan pemeliharaan. Tidak ada bukti pelaksanaan.</t>
  </si>
  <si>
    <t>Ada jadwal pemeliharaan dan  dilakukan pemeliharaan. Ada bukti pelaksanaan.</t>
  </si>
  <si>
    <t xml:space="preserve">Kalibrasi  alat kesehatan </t>
  </si>
  <si>
    <t xml:space="preserve">Kalibrasi alkes dilakukan sesuai dengan daftar peralatan yang perlu dikalibrasi, ada jadwal, dan bukti  pelaksanaan kalibrasi.
 </t>
  </si>
  <si>
    <t>Tidak ada jadwal kalibrasi dan tidak dilakukan kalibrasi</t>
  </si>
  <si>
    <t>Ada jadwal kalibrasi dan tidak dilakukan kalibrasi</t>
  </si>
  <si>
    <t>Ada jadwal kalibrasi dan  dilakukan kalibrasiTidak ada bukti pelaksanaan.</t>
  </si>
  <si>
    <t>Ada jadwal kalibrasi dan  dilakukan kalibrasi Ada bukti pelaksanaan.</t>
  </si>
  <si>
    <t>Perbaikan dan pemeliharaan peralatan medis dan non medis</t>
  </si>
  <si>
    <t>Perbaikan dan pemeliharaan peralatan medis dan non medis terjadwal dan sudah dilakukan yang dibuktikan dengan adanya jadwal dan bukti pelaksanaan</t>
  </si>
  <si>
    <t>Tidak ada jadwal pemeliharaan peralatan dan tidak dilakukan pemeliharaan</t>
  </si>
  <si>
    <t xml:space="preserve">1.3. Manajemen Keuangan </t>
  </si>
  <si>
    <t xml:space="preserve">Data realisasi keuangan </t>
  </si>
  <si>
    <t xml:space="preserve"> Realisasi capaian keuangan yang disertai bukti</t>
  </si>
  <si>
    <t xml:space="preserve">Data/laporan  tidak lengkap, belum di lakukan analisa, rencana  tindak lanjut, tindak lanjut dan evaluasi </t>
  </si>
  <si>
    <t xml:space="preserve">Data/laporan lengkap, ada sebagian analisa, belum ada rencana  tindak lanjut, tindak lanjut dan evaluasi </t>
  </si>
  <si>
    <t>Ada data/laporan keuangan, analisa lengkap dengan rencana tindak lanjut, tindak lanjut dan evaluasi</t>
  </si>
  <si>
    <t>Data keuangan dan laporan pertanggung jawaban</t>
  </si>
  <si>
    <t>Data  pencatatan pelaporan pertanggung jawaban  keuangan ke Dinkes Kab/Kota,penerimaan dan pengeluaran , realisasi capaian keuangan yang disertai bukti</t>
  </si>
  <si>
    <t>Data dan laporan  tidak lengkap, belum ada analisa, rencana  tindak lanjut, tindak lanjut dan evaluasi</t>
  </si>
  <si>
    <t xml:space="preserve">Data/laporan lengkap,analisa  sebagian ada , rencana  tindak lanjut, tindak lanjut dan evaluasi belum ada </t>
  </si>
  <si>
    <t>Data /laporan ada, analisa lengkap dengan rencana tindak lanjut, tindak lanjut dan evaluasi</t>
  </si>
  <si>
    <t>1.4.Manajemen Sumber Daya Manusia</t>
  </si>
  <si>
    <t>Rencana Kebutuhan Tenaga (Renbut)</t>
  </si>
  <si>
    <t>Metode Penghitungan Kebutuhan SDM Kesehatan secara riil sesuai kompetensinya berdasarkan beban kerja</t>
  </si>
  <si>
    <t>Tidak ada dokumen</t>
  </si>
  <si>
    <r>
      <t xml:space="preserve">Ada dokumen renbut, dengan hasil </t>
    </r>
    <r>
      <rPr>
        <u/>
        <sz val="12"/>
        <color rgb="FF000000"/>
        <rFont val="Tahoma"/>
        <family val="2"/>
      </rPr>
      <t>&lt;</t>
    </r>
    <r>
      <rPr>
        <sz val="12"/>
        <color rgb="FF000000"/>
        <rFont val="Tahoma"/>
        <family val="2"/>
      </rPr>
      <t xml:space="preserve"> 4 jenis nakes dari 9 nakes sesuai kebutuhan</t>
    </r>
  </si>
  <si>
    <r>
      <t xml:space="preserve">Ada dokumen renbut, dengan hasil </t>
    </r>
    <r>
      <rPr>
        <u/>
        <sz val="12"/>
        <color rgb="FF000000"/>
        <rFont val="Tahoma"/>
        <family val="2"/>
      </rPr>
      <t>&lt;</t>
    </r>
    <r>
      <rPr>
        <sz val="12"/>
        <color rgb="FF000000"/>
        <rFont val="Tahoma"/>
        <family val="2"/>
      </rPr>
      <t xml:space="preserve"> 7 jenis nakes  (termasuk dokter, dokter gigi, bidan dan perawat) dari 9 nakes sesuai kebutuhan</t>
    </r>
  </si>
  <si>
    <r>
      <t xml:space="preserve">Ada dokumen renbut, dengan hasil </t>
    </r>
    <r>
      <rPr>
        <u/>
        <sz val="12"/>
        <color rgb="FF000000"/>
        <rFont val="Tahoma"/>
        <family val="2"/>
      </rPr>
      <t>&lt;</t>
    </r>
    <r>
      <rPr>
        <sz val="12"/>
        <color rgb="FF000000"/>
        <rFont val="Tahoma"/>
        <family val="2"/>
      </rPr>
      <t xml:space="preserve"> 9 jenis nakes (termasuk dokter, dokter gigi, bidan dan perawat) sesuai kebutuhan</t>
    </r>
  </si>
  <si>
    <t xml:space="preserve">SK, uraian tugas pokok (tanggung jawab dan wewenang ) serta uraian tugas integrasi </t>
  </si>
  <si>
    <t xml:space="preserve">Surat Keputusan Penanggung Jawab dengan uraian tugas pokok dan tugas integrasi jabatan karyawan </t>
  </si>
  <si>
    <t>Tidak ada SK tentang  SO dan uraian tugas</t>
  </si>
  <si>
    <t>Ada SK Penanggung Jawab dan  uraian tugas 50% karyawan</t>
  </si>
  <si>
    <t>Ada SK Penanggung Jawab dan  uraian tugas 75% karyawan</t>
  </si>
  <si>
    <t>Ada SK Penanggung Jawab dan  uraian tugas seluruh karyawan</t>
  </si>
  <si>
    <t>Data kepegawaian</t>
  </si>
  <si>
    <t xml:space="preserve"> data kepegawaian meliputi dokumentasi STR/SIP/SIPP/SIB/SIK/SIPA dan hasil pengembangan SDM ( sertifikat,Pelatihan, seminar, workshop, dll),a nalisa pemenuhan standar jumlah dan kompetensi  SDM di Puskesmas, rencana tindak lanjut, tindak lanjut dan evaluasi nya</t>
  </si>
  <si>
    <t xml:space="preserve">Data tidak lengkap, tidak ada analisa   , rencana  tindak lanjut, tindak lanjut dan evaluasi </t>
  </si>
  <si>
    <t xml:space="preserve">Data lengkap,analisa  sebagian ada , rencana  tindak lanjut, tindak lanjut dan evaluasi belum ada </t>
  </si>
  <si>
    <t>Data lengkap, analisa lengkap dengan rencana tindak lanjut, tindak lanjut dan evaluasi</t>
  </si>
  <si>
    <t>1.5. Manajemen Pelayanan Kefarmasian (Pengelolaan obat, vaksin, reagen dan bahan habis pakai)</t>
  </si>
  <si>
    <t>1.</t>
  </si>
  <si>
    <t xml:space="preserve"> SOP Pelayanan Kefarmasian</t>
  </si>
  <si>
    <t xml:space="preserve">SOP pengelolaan sediaan farmasi (perencanaan, permintaan/ pengadaan, penerimaan, penyimpanan, distribusi, pencatatan dan pelaporan, dll) dan pelayanan farmasi klinik (Pengkajian Dan Pelayanan Resep , penyiapan obat, penyerahan obat, pemberian informasi obat, konseling, evaluasi penggunaan obat (EPO), Visite pemantauan terapi obat (PTO) khusus untuk Puskesmas rawat inap , pengelolan obat emergensi dll) </t>
  </si>
  <si>
    <t>Tidak ada SOP</t>
  </si>
  <si>
    <t>Ada SOP, tidak lengkap</t>
  </si>
  <si>
    <t>Ada SOP, lengkap</t>
  </si>
  <si>
    <t xml:space="preserve">Ada SOP, lengkap, ada dokumentasi pelaksanaan SOP. Dokumen pelaksanaan :  (perencanaan (RKO), permintaan/ pengadaan(LPLPO/SP), penerimaan( BAST), penyimpanan(kartu stok), distribusi(LPLPO unit/SBBK), pencatatan dan pelaporan( LPLPO, Ketersediaan 40 item obat dan 5 item vaksin, laporan narkotika psikotropika) dan pelayanan farmasi klinik (Pengkajian Dan Pelayanan Resep (skrining resep), penyiapan obat, penyerahan obat, pemberian informasi obat ( lembar pemberian informasi obat), konseling( form konseling), evaluasi penggunaan obat (EPO)( POR dan ketersediaan obat thd fornas), Visite untuk dalam gedung dan Home Pharmacy Care untuk luar gedung (dokumen catatan penggunaan obat pasien/dokumen PTO) pemantauan terapi obat(PTO) ( dokumen PTO)khusus untuk Puskesmas rawat inap , pengelolan obat emergensi (ada emergency kit dan buku monitoring obat emergency) </t>
  </si>
  <si>
    <t xml:space="preserve">2. </t>
  </si>
  <si>
    <t>Sarana Prasarana Pelayanan Kefarmasian</t>
  </si>
  <si>
    <t>Sarana prasarana yang terstandar dalam pengelolaan sediaan farmasi (adanya pallet, rak obat, lemari obat, lemari narkotika psikotropika, lemari es untuk menyimpan obat, APAR, pengatur suhu, thermohigrometer, kartu stok, dll) dan sarana pendukung  farmasi klinik  ( alat peracikan obat, perkamen, etiket, dll)</t>
  </si>
  <si>
    <t>Tidak ada sarana prasarana</t>
  </si>
  <si>
    <t>Ada sarana prasarana, tidak lengkap sesuai kebutuhan</t>
  </si>
  <si>
    <t>Ada sarana prasarana, lengkap sesuai kebutuhan</t>
  </si>
  <si>
    <t>Ada sarana prasarana, lengkap sesuai kebutuhan, penggunaan sesuai SOP (kondisi terawat, bersih)</t>
  </si>
  <si>
    <t>3.</t>
  </si>
  <si>
    <t xml:space="preserve">Data dan informasi Pelayanan Kefarmasian </t>
  </si>
  <si>
    <t>Data dan informasi terkait pengelolaan sediaan farmasi (pencatatan kartu stok/sistem informasi data stok obat, laporan narkotika/psikotropika, LPLPO, laporan ketersediaan obat) maupun pelayanan farmasi klinik (dokumentasi Verifikasi Resep,  PIO, Konseling, EPO, PTO, Visite (khusus untuk  puskesmas rawat inap) , MESO, laporan POR, kesesuaian obat dengan Fornas) secara lengkap, rutin dan tepat waktu,serta adanya Dokumen kegiatan UKM mulai dari perencanaan (Rencana Usulan Kegiatan dan Rencana Pelaksanaan Kegiatan), Hasil pelaksanaan, monitoring dan evaluasi kegiatan gema cermat</t>
  </si>
  <si>
    <t>Tidak ada data/dokumen</t>
  </si>
  <si>
    <t xml:space="preserve">Data tidak lengkap, tidak ada dokumen hasil pelaksanaan, Monitoring evaluasi, tidak terarsip dengan baik, rencana tindak lanjut dan evaluasi belum ada </t>
  </si>
  <si>
    <t>Data lengkap, terarsip dengan baik, tidak ada analisa, tidak ada tindak lanjut dan evaluasi</t>
  </si>
  <si>
    <t>Data ada, terarsip dengan baik, analisa lengkap dengan rencana tindak lanjut dan evaluasi</t>
  </si>
  <si>
    <t>Nilai</t>
  </si>
  <si>
    <t>(8)</t>
  </si>
  <si>
    <t>Jumlah Nilai Kinerja Manajemen Pelayanan Kefarmasian  ( V)</t>
  </si>
  <si>
    <t>Total Nilai Kinerja Administrasi dan Manajemen (I- V)</t>
  </si>
  <si>
    <t>Rata-rata Kinerja Administrasi dan Manajemen</t>
  </si>
  <si>
    <t>Jumlah Nilai Kinerja Manajemen Sumber Daya Manusia (IV)</t>
  </si>
  <si>
    <t>Jumlah Nilai Kinerja Manajemen Keuangan  (III)</t>
  </si>
  <si>
    <t>Jumlah Nilai Kinerja Manajemen Peralatan dan sarana prasarana  (II)</t>
  </si>
  <si>
    <t>Jumlah Nilai Kinerja Manajemen Umum Puskesmas  (I)</t>
  </si>
  <si>
    <t xml:space="preserve">Satuan sasaran </t>
  </si>
  <si>
    <t xml:space="preserve">Total Sasaran  </t>
  </si>
  <si>
    <t xml:space="preserve">Target Sasaran      </t>
  </si>
  <si>
    <t xml:space="preserve">Pencapaian  (dalam satuan sasaran) </t>
  </si>
  <si>
    <t>% Cakupan Riil</t>
  </si>
  <si>
    <t>% Kinerja Puskesmas</t>
  </si>
  <si>
    <t>Ketercapaian  Target Tahun n</t>
  </si>
  <si>
    <t>Analisa  Akar Penyebab Masalah</t>
  </si>
  <si>
    <t>Rencana Tindak Lanjut</t>
  </si>
  <si>
    <t xml:space="preserve">Sub Variabel </t>
  </si>
  <si>
    <t>Variabel</t>
  </si>
  <si>
    <t xml:space="preserve"> Program</t>
  </si>
  <si>
    <t>(9)</t>
  </si>
  <si>
    <t>(10)</t>
  </si>
  <si>
    <t>(11)</t>
  </si>
  <si>
    <t>(12)</t>
  </si>
  <si>
    <t>(13)</t>
  </si>
  <si>
    <t>(14)</t>
  </si>
  <si>
    <t>2.1.1.1 Pengkajian PHBS (Perilaku Hidup Bersih dan Sehat)  </t>
  </si>
  <si>
    <t>Rumah Tangga yang dikaji</t>
  </si>
  <si>
    <t>Rumah Tangga</t>
  </si>
  <si>
    <t>2.</t>
  </si>
  <si>
    <t>Institusi Pendidikan yang dikaji</t>
  </si>
  <si>
    <t>Institusi Pendidikan</t>
  </si>
  <si>
    <t xml:space="preserve">3. </t>
  </si>
  <si>
    <t>Pondok Pesantren (Ponpes) yang dikaji</t>
  </si>
  <si>
    <t>Ponpes</t>
  </si>
  <si>
    <t>Rumah Tangga Sehat yang memenuhi 10 indikator PHBS</t>
  </si>
  <si>
    <t>2.1.1.3.Intervensi/ Penyuluhan </t>
  </si>
  <si>
    <t>Kegiatan intervensi pada Kelompok Rumah Tangga</t>
  </si>
  <si>
    <t xml:space="preserve">Posyandu </t>
  </si>
  <si>
    <t xml:space="preserve">Kegiatan intervensi pada Institusi Pendidikan </t>
  </si>
  <si>
    <t xml:space="preserve">Kegiatan intervensi pada Pondok Pesantren </t>
  </si>
  <si>
    <t>2.1.1.4.Pengembangan UKBM</t>
  </si>
  <si>
    <t xml:space="preserve">1. </t>
  </si>
  <si>
    <t xml:space="preserve">Posyandu Balita PURI (Purnama Mandiri) </t>
  </si>
  <si>
    <t>Poskesdes/ Poskeskel Aktif</t>
  </si>
  <si>
    <t>2.1.1.5 Pengembangan Desa/Kelurahan Siaga Aktif </t>
  </si>
  <si>
    <t xml:space="preserve">Desa/Kelurahan Siaga Aktif </t>
  </si>
  <si>
    <t>Desa</t>
  </si>
  <si>
    <t>Desa/Kelurahan Siaga Aktif  PURI (Purnama Mandiri )</t>
  </si>
  <si>
    <t>Pembinaan Desa/Kelurahan Siaga Aktif</t>
  </si>
  <si>
    <t>2.1.1.6. Promosi Kesehatan dan Pemberdayaan Masyarakat</t>
  </si>
  <si>
    <t>Promosi kesehatan untuk program prioritas di dalam gedung  Puskesmas dan jaringannya (sasaran  masyarakat)</t>
  </si>
  <si>
    <t>Puskesmas &amp; Jaringannya</t>
  </si>
  <si>
    <t xml:space="preserve">Pengukuran dan Pembinaan Tingkat Perkembangan UKBM </t>
  </si>
  <si>
    <t>Jenis UKBM</t>
  </si>
  <si>
    <t>TTU</t>
  </si>
  <si>
    <t>Konseling Sanitasi</t>
  </si>
  <si>
    <t>orang</t>
  </si>
  <si>
    <t>2.1.3.1.Kesehatan Ibu</t>
  </si>
  <si>
    <t>Kunjungan Pertama Ibu Hamil (K1)</t>
  </si>
  <si>
    <t>Pelayanan Persalinan oleh tenaga kesehatan di fasilitas kesehatan (Pf) -SPM</t>
  </si>
  <si>
    <t xml:space="preserve">Pelayanan Nifas  oleh tenaga kesehatan (KF) </t>
  </si>
  <si>
    <t>Penanganan komplikasi kebidanan (PK)</t>
  </si>
  <si>
    <t>Ibu hamil yang diperiksa HIV</t>
  </si>
  <si>
    <t xml:space="preserve">Pelayanan Kesehatan Neonatus pertama (KN1) </t>
  </si>
  <si>
    <r>
      <t xml:space="preserve">Pelayanan Kesehatan Neonatus 0 - 28 hari (KN lengkap) </t>
    </r>
    <r>
      <rPr>
        <b/>
        <sz val="12"/>
        <color theme="1"/>
        <rFont val="Tahoma"/>
        <family val="2"/>
      </rPr>
      <t>-SPM</t>
    </r>
  </si>
  <si>
    <t>Penanganan komplikasi neonatus</t>
  </si>
  <si>
    <t>4.</t>
  </si>
  <si>
    <t>Pelayanan kesehatan bayi 29 hari - 11 bulan</t>
  </si>
  <si>
    <t>Pelayanan  kesehatan balita (0 - 59 bulan)</t>
  </si>
  <si>
    <t>Pelayanan  kesehatan Anak pra sekolah (60 - 72 bulan)</t>
  </si>
  <si>
    <t xml:space="preserve">Sekolah setingkat SD/MI/SDLB yang melaksanakan pemeriksaan penjaringan kesehatan </t>
  </si>
  <si>
    <t xml:space="preserve">Sekolah setingkat SMP/MTs/SMPLB yang melaksanakan pemeriksaan penjaringan kesehatan </t>
  </si>
  <si>
    <t xml:space="preserve">Sekolah setingkat  SMA/MA/SMK/SMALB yang melaksanakan pemeriksaan penjaringan kesehatan </t>
  </si>
  <si>
    <t>Pelayanan Kesehatan pada Usia Pendidikan Dasar  kelas 1 sampai dengan kelas 9 dan diluar satuan pendidikan dasar</t>
  </si>
  <si>
    <t>5.</t>
  </si>
  <si>
    <t xml:space="preserve">Pelayanan kesehatan remaja </t>
  </si>
  <si>
    <t>KB aktif (Contraceptive Prevalence Rate/ CPR)</t>
  </si>
  <si>
    <t xml:space="preserve">Peserta KB baru </t>
  </si>
  <si>
    <t>Akseptor KB Drop Out</t>
  </si>
  <si>
    <t>&lt; 10 %</t>
  </si>
  <si>
    <t xml:space="preserve">4. </t>
  </si>
  <si>
    <t>Peserta KB mengalami komplikasi</t>
  </si>
  <si>
    <t>&lt; 3 ,5 %</t>
  </si>
  <si>
    <t>PUS dengan 4 T ber  KB</t>
  </si>
  <si>
    <t>KB pasca persalinan</t>
  </si>
  <si>
    <t>CPW dilayanan kespro catin</t>
  </si>
  <si>
    <t>2.1.4.1.Pelayanan Gizi Masyarakat</t>
  </si>
  <si>
    <t xml:space="preserve">Pemberian kapsul vitamin A dosis tinggi pada balita  (6-59 bulan ) </t>
  </si>
  <si>
    <t>Pemberian 90 tablet Besi pada ibu hamil</t>
  </si>
  <si>
    <t>bumil</t>
  </si>
  <si>
    <t>Pemberian Tablet Tambah Darah pada Remaja Putri</t>
  </si>
  <si>
    <t xml:space="preserve">Pemberian   makanan tambahan  bagi balita gizi kurang </t>
  </si>
  <si>
    <t>Balita</t>
  </si>
  <si>
    <t xml:space="preserve">Pemberian  makanan tambahan  pada ibu hamil   Kurang Energi Kronik  (KEK )   </t>
  </si>
  <si>
    <t>Ibu Hamil</t>
  </si>
  <si>
    <t>Balita gizi buruk mendapat perawatan sesuai standar tatalaksana gizi buruk</t>
  </si>
  <si>
    <t xml:space="preserve">Pemberian Proses Asuhan Gizi di Puskesmas  (sesuai buku pedoman asuhan gizi tahun 2018 warna kuning ) </t>
  </si>
  <si>
    <t>Balita (Dokumen)</t>
  </si>
  <si>
    <t>2.1.4.3. Pemantauan Status Gizi</t>
  </si>
  <si>
    <t>Balita yang di timbang berat badanya   ( D/S)</t>
  </si>
  <si>
    <t>Balita ditimbang yang  naik berat badannya (N/D)</t>
  </si>
  <si>
    <t xml:space="preserve">Balita stunting ( pendek dan sangat pendek )  </t>
  </si>
  <si>
    <t xml:space="preserve">Bayi usia 6 (enam) bulan mendapat ASI Eksklusif </t>
  </si>
  <si>
    <t>Bayi</t>
  </si>
  <si>
    <t>Bayi yang baru lahir mendapat IMD (Inisiasi Menyusu Dini)</t>
  </si>
  <si>
    <t>Pelayanan Diare Balita</t>
  </si>
  <si>
    <t xml:space="preserve">Pelaksanaan kegiatan Layanan Rehidrasi Oral Aktif (LROA) </t>
  </si>
  <si>
    <t>Pemeriksaan kontak dari kasus Kusta baru</t>
  </si>
  <si>
    <t>lebih dari 80%</t>
  </si>
  <si>
    <t xml:space="preserve">RFT penderita Kusta </t>
  </si>
  <si>
    <t>lebih dari 90%</t>
  </si>
  <si>
    <t xml:space="preserve">Proporsi tenaga kesehatan Kusta tersosialisasi </t>
  </si>
  <si>
    <t>lebih dari 95%</t>
  </si>
  <si>
    <t xml:space="preserve">Kader Posyandu yang telah mendapat sosialisasi kusta </t>
  </si>
  <si>
    <t xml:space="preserve">5.  </t>
  </si>
  <si>
    <t>SD/ MI  telah dilakukan screening Kusta</t>
  </si>
  <si>
    <t>SD/MI</t>
  </si>
  <si>
    <t>Kasus TBC yang ditemukan dan diobati</t>
  </si>
  <si>
    <t xml:space="preserve">Persentase Pelayanan orang terduga TBC mendapatkan pelayanan TBC sesuai standar (Standar Pelayanan Minimal ke 11) </t>
  </si>
  <si>
    <t>Angka Keberhasilan pengobatan kasus TBC 
(Success Rate/SR)</t>
  </si>
  <si>
    <t>Sekolah (SMP dan SMA/sederajat) yang sudah dijangkau penyuluhan HIV/AIDS</t>
  </si>
  <si>
    <t xml:space="preserve">Angka Bebas Jentik (ABJ) </t>
  </si>
  <si>
    <t>≥95%</t>
  </si>
  <si>
    <t xml:space="preserve">Penderita DBD ditangani </t>
  </si>
  <si>
    <t>PE kasus DBD</t>
  </si>
  <si>
    <t>Penderita Malaria yang dilakukan pemeriksaan SD</t>
  </si>
  <si>
    <t xml:space="preserve">Penderita positif Malaria yang diobati sesuai pengobatan standar </t>
  </si>
  <si>
    <t>Penderita positif Malaria yang di follow up</t>
  </si>
  <si>
    <t xml:space="preserve">Cuci luka terhadap kasus gigitan HPR </t>
  </si>
  <si>
    <t xml:space="preserve">Vaksinasi terhadap kasus gigitan HPR yang berindikasi </t>
  </si>
  <si>
    <t xml:space="preserve">UCI  desa </t>
  </si>
  <si>
    <t>6.</t>
  </si>
  <si>
    <t>7.</t>
  </si>
  <si>
    <t>Pemantauan suhu, VVM, serta Alarm Dingin pada lemari es penyimpan vaksin</t>
  </si>
  <si>
    <t>Ketersediaan buku catatan stok vaksin sesuai dengan jumlah vaksin program imunisasi serta pelarutnya</t>
  </si>
  <si>
    <t>Laporan KIPI Zero reporting / KIPI Non serius</t>
  </si>
  <si>
    <t>laporan</t>
  </si>
  <si>
    <t xml:space="preserve">Laporan STP yang tepat waktu </t>
  </si>
  <si>
    <r>
      <t>&gt;</t>
    </r>
    <r>
      <rPr>
        <sz val="12"/>
        <rFont val="Tahoma"/>
        <family val="2"/>
      </rPr>
      <t>80%</t>
    </r>
  </si>
  <si>
    <t>Kelengkapan laporan STP</t>
  </si>
  <si>
    <r>
      <t>&gt;</t>
    </r>
    <r>
      <rPr>
        <sz val="12"/>
        <rFont val="Tahoma"/>
        <family val="2"/>
      </rPr>
      <t xml:space="preserve"> 90%</t>
    </r>
  </si>
  <si>
    <t xml:space="preserve">Desa/ Kelurahan yang mengalami KLB ditanggulangi dalam waktu kurang dari 24 (dua puluh empat) jam </t>
  </si>
  <si>
    <t>desa/kelurahan</t>
  </si>
  <si>
    <t>Pelayanan Kesehatan Usia Produktif</t>
  </si>
  <si>
    <t>Total Nilai Kinerja UKM esensial (I- V)</t>
  </si>
  <si>
    <t xml:space="preserve">Interpretasi nilai rata2 kinerja  program UKM esensial: </t>
  </si>
  <si>
    <r>
      <t xml:space="preserve">1. Baik   bila nilai rata-rata </t>
    </r>
    <r>
      <rPr>
        <u/>
        <sz val="12"/>
        <color rgb="FF000000"/>
        <rFont val="Times New Roman"/>
        <family val="1"/>
      </rPr>
      <t/>
    </r>
  </si>
  <si>
    <r>
      <rPr>
        <u/>
        <sz val="14"/>
        <color theme="1"/>
        <rFont val="Tahoma"/>
        <family val="2"/>
      </rPr>
      <t xml:space="preserve"> &gt;</t>
    </r>
    <r>
      <rPr>
        <sz val="14"/>
        <color theme="1"/>
        <rFont val="Tahoma"/>
        <family val="2"/>
      </rPr>
      <t xml:space="preserve"> 91%</t>
    </r>
  </si>
  <si>
    <t xml:space="preserve">2. Cukup bila nilai rata-rata </t>
  </si>
  <si>
    <t xml:space="preserve"> 81 - 90 % </t>
  </si>
  <si>
    <t xml:space="preserve">3. Rendah bila nilai rata-rata </t>
  </si>
  <si>
    <r>
      <rPr>
        <u/>
        <sz val="14"/>
        <color theme="1"/>
        <rFont val="Tahoma"/>
        <family val="2"/>
      </rPr>
      <t>&lt;</t>
    </r>
    <r>
      <rPr>
        <sz val="14"/>
        <color theme="1"/>
        <rFont val="Tahoma"/>
        <family val="2"/>
      </rPr>
      <t xml:space="preserve"> 80%</t>
    </r>
  </si>
  <si>
    <t>Kolom ke</t>
  </si>
  <si>
    <t>Keterangan:</t>
  </si>
  <si>
    <r>
      <rPr>
        <b/>
        <sz val="12"/>
        <color rgb="FF000000"/>
        <rFont val="Tahoma"/>
        <family val="2"/>
      </rPr>
      <t>Upaya Pelayanan Kesehatan</t>
    </r>
    <r>
      <rPr>
        <sz val="12"/>
        <color rgb="FF000000"/>
        <rFont val="Tahoma"/>
        <family val="2"/>
      </rPr>
      <t>:  UKM esensial, UKM pengembangan, UKP  (Upaya Pelayanan kesehatan yang dilakukan di Puskesmas )</t>
    </r>
  </si>
  <si>
    <r>
      <rPr>
        <b/>
        <sz val="12"/>
        <color rgb="FF000000"/>
        <rFont val="Tahoma"/>
        <family val="2"/>
      </rPr>
      <t>Program</t>
    </r>
    <r>
      <rPr>
        <sz val="12"/>
        <color rgb="FF000000"/>
        <rFont val="Tahoma"/>
        <family val="2"/>
      </rPr>
      <t xml:space="preserve"> : bagian Upaya Pelayanan Kesehatan, misalnya UKM esensial terdiri dari 5 Program ( Promosi Kesehatan, Kesehatan Lingkungan, KIA-KB dll)</t>
    </r>
  </si>
  <si>
    <r>
      <rPr>
        <b/>
        <sz val="12"/>
        <color rgb="FF000000"/>
        <rFont val="Tahoma"/>
        <family val="2"/>
      </rPr>
      <t>Variabel</t>
    </r>
    <r>
      <rPr>
        <sz val="12"/>
        <color rgb="FF000000"/>
        <rFont val="Tahoma"/>
        <family val="2"/>
      </rPr>
      <t xml:space="preserve"> : bagian dari Program , contoh variabel Promosi Kesehatan adalah tatanan sehat, intervensi/penyuluhan, pengembangan UKBM dll</t>
    </r>
  </si>
  <si>
    <r>
      <rPr>
        <b/>
        <sz val="12"/>
        <color rgb="FF000000"/>
        <rFont val="Tahoma"/>
        <family val="2"/>
      </rPr>
      <t>Subvariabel:</t>
    </r>
    <r>
      <rPr>
        <sz val="12"/>
        <color rgb="FF000000"/>
        <rFont val="Tahoma"/>
        <family val="2"/>
      </rPr>
      <t xml:space="preserve"> bagian dari variabel, contoh: subvariabel Tatanan sehat adalah rumah tangga sehat yang memenuhi  10 indikator PHBS, Institusi Pendidikan yang memenuhi 7-8 indikator PHBS dst</t>
    </r>
  </si>
  <si>
    <r>
      <rPr>
        <b/>
        <sz val="12"/>
        <color rgb="FF000000"/>
        <rFont val="Tahoma"/>
        <family val="2"/>
      </rPr>
      <t>Satuan sasaran</t>
    </r>
    <r>
      <rPr>
        <sz val="12"/>
        <color rgb="FF000000"/>
        <rFont val="Tahoma"/>
        <family val="2"/>
      </rPr>
      <t>: satuan kegiatan program, misal orang, balita, rumah tangga dll</t>
    </r>
  </si>
  <si>
    <r>
      <rPr>
        <b/>
        <sz val="12"/>
        <color rgb="FF000000"/>
        <rFont val="Tahoma"/>
        <family val="2"/>
      </rPr>
      <t>Total Sasaran</t>
    </r>
    <r>
      <rPr>
        <sz val="12"/>
        <color rgb="FF000000"/>
        <rFont val="Tahoma"/>
        <family val="2"/>
      </rPr>
      <t xml:space="preserve">: sasaran target keseluruhan ( 100%), jumlah populasi/area di wilayah kerja </t>
    </r>
  </si>
  <si>
    <r>
      <rPr>
        <b/>
        <sz val="12"/>
        <color rgb="FF000000"/>
        <rFont val="Tahoma"/>
        <family val="2"/>
      </rPr>
      <t>Pencapaian:</t>
    </r>
    <r>
      <rPr>
        <sz val="12"/>
        <color rgb="FF000000"/>
        <rFont val="Tahoma"/>
        <family val="2"/>
      </rPr>
      <t xml:space="preserve"> hasil masing kegiatan Puskesmas (dalam satuan sasaran )</t>
    </r>
  </si>
  <si>
    <r>
      <rPr>
        <b/>
        <sz val="12"/>
        <color rgb="FF000000"/>
        <rFont val="Tahoma"/>
        <family val="2"/>
      </rPr>
      <t>% cakupan riil</t>
    </r>
    <r>
      <rPr>
        <sz val="12"/>
        <color rgb="FF000000"/>
        <rFont val="Tahoma"/>
        <family val="2"/>
      </rPr>
      <t>= kolom 7  ( pencapaian) dibagi kolom 5 ( total sasaran) dikali 100%; cakupan sesungguhnya dari tiap program, dibandingkan dengan total sasaran.</t>
    </r>
  </si>
  <si>
    <t>9-11</t>
  </si>
  <si>
    <r>
      <rPr>
        <b/>
        <sz val="12"/>
        <color rgb="FF000000"/>
        <rFont val="Tahoma"/>
        <family val="2"/>
      </rPr>
      <t>% Kinerja Puskesmas</t>
    </r>
    <r>
      <rPr>
        <sz val="12"/>
        <color rgb="FF000000"/>
        <rFont val="Tahoma"/>
        <family val="2"/>
      </rPr>
      <t>= pencapaian kinerja Puskesmas dibandingkan Target Sasaran, penilaian ketercapaian target sasaran</t>
    </r>
  </si>
  <si>
    <r>
      <rPr>
        <b/>
        <sz val="12"/>
        <color rgb="FF000000"/>
        <rFont val="Tahoma"/>
        <family val="2"/>
      </rPr>
      <t>%  Kinerja Sub Variabel</t>
    </r>
    <r>
      <rPr>
        <sz val="12"/>
        <color rgb="FF000000"/>
        <rFont val="Tahoma"/>
        <family val="2"/>
      </rPr>
      <t>/Variabel/Program Puskesmas= Pencapaian  ( kolom 7) dibagi Target sasaran ( kolom 6) dikali 100%</t>
    </r>
  </si>
  <si>
    <r>
      <rPr>
        <b/>
        <sz val="12"/>
        <color rgb="FF000000"/>
        <rFont val="Tahoma"/>
        <family val="2"/>
      </rPr>
      <t>% kinerja variabel Puskesmas</t>
    </r>
    <r>
      <rPr>
        <sz val="12"/>
        <color rgb="FF000000"/>
        <rFont val="Tahoma"/>
        <family val="2"/>
      </rPr>
      <t>=  penjumlahan % kinerja subvariabel ( kolom 9) dibagi sejumlah subvariabel</t>
    </r>
  </si>
  <si>
    <t>Catatan: Bagi program yang tidak mempunyai subvariabel, maka bisa langsung mengisi % kinerja variabel dan % kinerja rata- rata program</t>
  </si>
  <si>
    <r>
      <rPr>
        <b/>
        <sz val="12"/>
        <color rgb="FF000000"/>
        <rFont val="Tahoma"/>
        <family val="2"/>
      </rPr>
      <t>% kinerja rata2 program</t>
    </r>
    <r>
      <rPr>
        <sz val="12"/>
        <color rgb="FF000000"/>
        <rFont val="Tahoma"/>
        <family val="2"/>
      </rPr>
      <t>= penjumlahan % kinerja variabel  ( kolom 10) dibagi sejumlah variabel</t>
    </r>
  </si>
  <si>
    <r>
      <rPr>
        <b/>
        <sz val="12"/>
        <color rgb="FF000000"/>
        <rFont val="Tahoma"/>
        <family val="2"/>
      </rPr>
      <t>Analisa Akar Penyebab Masalah</t>
    </r>
    <r>
      <rPr>
        <sz val="12"/>
        <color rgb="FF000000"/>
        <rFont val="Tahoma"/>
        <family val="2"/>
      </rPr>
      <t>: akar masalah terkecil penyebab ketidak tercapaian target</t>
    </r>
  </si>
  <si>
    <r>
      <rPr>
        <b/>
        <sz val="12"/>
        <color rgb="FF000000"/>
        <rFont val="Tahoma"/>
        <family val="2"/>
      </rPr>
      <t>Rencana Tindak lanjut</t>
    </r>
    <r>
      <rPr>
        <sz val="12"/>
        <color rgb="FF000000"/>
        <rFont val="Tahoma"/>
        <family val="2"/>
      </rPr>
      <t>: berhubungan dengan analisa akar penyebab masalah</t>
    </r>
  </si>
  <si>
    <t>Lampiran 3</t>
  </si>
  <si>
    <t>Cara Penghitungan</t>
  </si>
  <si>
    <t>Jumlah Rumah Tangga yang dikaji PHBS dibagi jumlah  sasaran Rumah Tangga dikali 100%</t>
  </si>
  <si>
    <t>Jumlah Institusi Pendidikan yang dikaji PHBS dibagi jumlah sasaran Institusi Pendidikan dikali 100%</t>
  </si>
  <si>
    <t>Jumlah Pondok Pesantren yang dikaji PHBS dibagi jumlah Ponpes dikali 100%</t>
  </si>
  <si>
    <t>2.1.1.2.Tatanan Sehat </t>
  </si>
  <si>
    <t>Jumlah Rumah Tangga yang memenuhi 10 indikator PHBS rumah tangga dibagi jumlah sasaran rumah tangga yang dikaji dikali 100%</t>
  </si>
  <si>
    <t xml:space="preserve">Institusi Pendidikan yang memenuhi 10-12  indikator PHBS (klasifikasi IV) </t>
  </si>
  <si>
    <t>Jumlah Institusi Pendidikan yang memenuhi 10 -12 Indikator PHBS Institusi Pendidikan dibagi jumlah sasaran Institusi Pendidikan yang dikaji  dikali 100%</t>
  </si>
  <si>
    <t>Pondok Pesantren yang memenuhi 13-15 indikator PHBS Pondok Pesantren  (Klasifikasi IV)</t>
  </si>
  <si>
    <t>Jumlah Ponpes yang memenuhi 13 - 15 indikator PHBS Ponpes dibagi jumlah  Pondok Pesantren yang dikaji dikali 100%                                                     Catatan: tidak dihitung sebagai pembagi bila  tidak ada Ponpes</t>
  </si>
  <si>
    <t>Jumlah kegiatan penyuluhan kelompok /bentuk intervensi lain terkait 10 indikator PHBS pada rumah tangga melalui Posyandu Balita yang ada di wilayah Puskesmas selama 1 tahun dibagi (4 kali jumlah posyandu Balita yang ada di wilayah kerja puskesmas) dikali 100 %</t>
  </si>
  <si>
    <t>Jumlah kegiatan penyuluhan/bentuk intervensi lain pada institusi pendidikan yang dikaji PHBS selama 1 tahun dibagi (2 kali jumlah institusi pendidikan yang dikaji PHBS) dikali 100 %</t>
  </si>
  <si>
    <t>Jumlah kegiatan penyuluhan/bentuk intervensi lain pada pondok pesantren yang dikaji PHBS selama 1 tahun dibagi (2 kali jumlah pondok pesantren yang dikaji PHBS) dikali 100 %</t>
  </si>
  <si>
    <t>Jumlah Posyandu Balita Purnama dan Mandiri dibagi jumlah Posyandu Balita dikali 100%</t>
  </si>
  <si>
    <t>Jumlah Poskesdes/Poskeskel yang  berstrata Madya, Purnama dan  Mandiri dibagi jumlah Poskesdes/Poskeskel yang ada dikali 100%</t>
  </si>
  <si>
    <t>Jumlah Desa/Kelurahan  Siaga Aktif  dengan  Strata Pratama, Madya, Purnama  dan Mandiri dibagi jumlah total desa dikali 100%</t>
  </si>
  <si>
    <t>Jumlah Desa/Kelurahan Siaga Aktif Purnama dan Mandiri dibagi jumlah total Desa Siaga dikali 100%</t>
  </si>
  <si>
    <t>Jumlah Desa/Kelurahan Siaga yang dibina 2 kali  per tahun dibagi jumlah total desa/Kelurahan Siaga dikali 100 %</t>
  </si>
  <si>
    <t>Jumlah Puskesmas dan jaringannya melakukan promosi kesehatan program prioritas sebanyak 12 (dua belas) kali dalam kurun waktu satu tahun kepada masyarakat yang datang ke Puskesmas dan jaringannya  dibagi jumlah Puskesmas dan jaringannya di satu wilayah kerja dalam kurun waktu satu tahun yang sama dikali 100 %</t>
  </si>
  <si>
    <r>
      <t xml:space="preserve">Jenis  UKBM yang diukur dan dibina tingkat perkembangannya dibagi  jenis UKBM  yang ada di satu wilayah kerja dalam kurun waktu satu tahun  dikali 100 %          </t>
    </r>
    <r>
      <rPr>
        <b/>
        <u/>
        <sz val="10"/>
        <color rgb="FF000000"/>
        <rFont val="Times New Roman"/>
        <family val="1"/>
      </rPr>
      <t/>
    </r>
  </si>
  <si>
    <r>
      <t xml:space="preserve">2.1.2.1.Penyehatan Air </t>
    </r>
    <r>
      <rPr>
        <sz val="12"/>
        <rFont val="Tahoma"/>
        <family val="2"/>
      </rPr>
      <t> </t>
    </r>
  </si>
  <si>
    <t>Jumlah TTU Prioritas yang dibina dibagi jumlah TTU Prioritas yang ada dikali 100 %</t>
  </si>
  <si>
    <t>Jumlah TTU Prioritas yang memenuhi syarat kesehatan dibagi jumlah TTU Prioritas yang dibina/yang diperiksa dikali 100 %</t>
  </si>
  <si>
    <r>
      <t>2.1.2.4.Yankesling (Klinik Sanitasi)</t>
    </r>
    <r>
      <rPr>
        <sz val="12"/>
        <rFont val="Tahoma"/>
        <family val="2"/>
      </rPr>
      <t> </t>
    </r>
  </si>
  <si>
    <t xml:space="preserve">Jumlah pasien PBL yang dikonseling dibagi dengan jumlah Pasien PBL di wilayah Puskesmas dikali 100 % </t>
  </si>
  <si>
    <r>
      <t>2.1.2.5. Sanitasi Total Berbasis Masyarakat ( STBM ) = Pemberdayaan Masyarakat</t>
    </r>
    <r>
      <rPr>
        <sz val="12"/>
        <rFont val="Tahoma"/>
        <family val="2"/>
      </rPr>
      <t> </t>
    </r>
  </si>
  <si>
    <t>Desa/kelurahan yang Stop Buang Air Besar Sembarangan (SBS)</t>
  </si>
  <si>
    <t xml:space="preserve">Jumlah Desa/Kelurahan yang sudah Stop Buang Air Besar Sembarangan (SBS) dibagi jumlah desa/kelurahan yang ada dikali 100 %  </t>
  </si>
  <si>
    <t>Desa/ Kelurahan  ber STBM 5 Pilar</t>
  </si>
  <si>
    <t>2.1.3</t>
  </si>
  <si>
    <t>Jumlah Ibu hamil yang mendapatkan pelayanan ANC sesuai standar (K1) dibagi sasaran ibu hamil dikali 100%</t>
  </si>
  <si>
    <t>Jumlah persalinan oleh tenaga kesehatan yang kompeten  di fasilitas pelayanan kesehatan dibagi jumlah sasaran ibu bersalin dikali 100%</t>
  </si>
  <si>
    <t>Jumlah ibu nifas yang memperoleh 4 kali pelayanan nifas sesuai standar dibagi sasaran ibu bersalin dikali 100%</t>
  </si>
  <si>
    <t>Jumlah ibu hamil,bersalin dan nifas dengan komplikasi kebidanan yang mendapatkan penanganan  definitif (sampai selesai) dibagi 20% sasaran  ibu  hamil  dikali 100%</t>
  </si>
  <si>
    <t>Jumlah ibu hamil yang diperiksa HIV dibagi ibu hamil K1 dikali 100 %</t>
  </si>
  <si>
    <r>
      <t>2.1.3.2. Kesehatan Bayi</t>
    </r>
    <r>
      <rPr>
        <sz val="12"/>
        <color theme="1"/>
        <rFont val="Tahoma"/>
        <family val="2"/>
      </rPr>
      <t> </t>
    </r>
  </si>
  <si>
    <t>Jumlah neonatus yang mendapat pelayanan sesuai standar pada 6-48 jam setelah lahir di bagi sasaran lahir hidup dikali 100%</t>
  </si>
  <si>
    <t>Jumlah neonatus umur 0-28 hari yang memperoleh minimal 3 kali pelayanan  sesuai standar dibagi sasaran lahir hidup dikali 100%</t>
  </si>
  <si>
    <t>Jumlah neonatus dengan komplikasi yang mendapat penanganan sesuai standar dibagi 15% sasaran lahir hidup kali 100%</t>
  </si>
  <si>
    <t>Jumlah bayi usia 29 hari- 11 bulan yang telah memperoleh 4 kali pelayanan kesehatan sesuai standar dibagi sasaran bayi dikali 100%</t>
  </si>
  <si>
    <r>
      <t>2.1.3.3. Kesehatan Anak Balita dan Anak Prasekolah</t>
    </r>
    <r>
      <rPr>
        <sz val="12"/>
        <color theme="1"/>
        <rFont val="Tahoma"/>
        <family val="2"/>
      </rPr>
      <t> </t>
    </r>
  </si>
  <si>
    <t>Jumlah Balita usia 12-23 bulan yang mendapat Pelayanan Kesehatan sesuai Standar 1 + Jumlah Balita usia 24-35 bulan mendapatkan
pelayanan kesehatan sesuai standar 2 + Balita usia 36-59 bulan mendapakan pelayanan sesuai standar 3 sesuai standar dalam kurun waktu satu tahun  dibagi Jumlah balita  usia 12 –59 bulanpada kurun waktu satu tahun yang sama dikali 100%</t>
  </si>
  <si>
    <t>Jumlah anak umur 60-72 bulan yang memperoleh pelayanan kesehatan sesuai standar dibagi sasaran anak prasekolah dikali 100%</t>
  </si>
  <si>
    <r>
      <t>2.1.3.4. Kesehatan Anak Usia Sekolah dan Remaja</t>
    </r>
    <r>
      <rPr>
        <sz val="12"/>
        <color theme="1"/>
        <rFont val="Tahoma"/>
        <family val="2"/>
      </rPr>
      <t> </t>
    </r>
  </si>
  <si>
    <t>Jumlah sekolah setingkat SD/ MI/ SDLB  yang melaksanakan pemeriksaan penjaringan kesehatan di wilayah kerja tertentu dalam kurun waktu satu tahun ajaran pendidikan dibagi jumlah seluruh sekolah setingkat SD/MI/ SDLB  di wilayah kerja tertentu dalam kurun waktu satu tahun ajaran pendidikan yang sama  dikali 100%</t>
  </si>
  <si>
    <t>Jumlah sekolah setingkat SMP/ MTs/ SMPLB  yang melaksanakan pemeriksaan penjaringan kesehatan  di wilayah kerja tertentu dalam kurun waktu satu tahun ajaran pendidikan dibagi jumlah seluruh sekolah setingkat SD/MI/ SDLB   di wilayah kerja tertentu dalam kurun waktu satu tahun ajaran pendidikan yang sama   dikali 100%</t>
  </si>
  <si>
    <t>Jumlah sekolah setingkat SMA/ MA/SMK/SMALB  yang melaksanakan pemeriksaan penjaringan kesehatan di wilayah kerja tertentu dalam kurun waktu tahun ajaran pendidikan dibagi jumlah seluruh sekolah setingkat SMA/MA/SMK/ SMALB  di wilayah kerja tertentu dalam kurun waktu satu tahun ajaran pendidikan yang sama  dikali 100%</t>
  </si>
  <si>
    <t>Jumlah murid kelas 1 sampai dengan kelas 9 (SD/MI dan SMP/MTs) dan usia 7 -15 tahun diluar sekolah (pondok pesantren, panti/LKSA, lapas/LPKA dan lainnya)  yang mendapat pelayanan  kesehatan sesuai standar di wilayah kerja tertentu dalam kurun waktu satu tahun ajaran pendidikan dibagi jumlah semua murid kelas 1 sampai dengan kelas 9 (SD/MI dan SMP/MTs) dan usia 7 -15 tahun diluar sekolah (pondok pesantren, panti/LKSA, lapas/LPKA dan lainnya)   di wilayah kerja tertentu dalam kurun waktu satu tahun ajaran  pendidikan yang sama dikali 100%</t>
  </si>
  <si>
    <r>
      <t>Jumlah remaja usia 10 - 18 tahun</t>
    </r>
    <r>
      <rPr>
        <strike/>
        <sz val="12"/>
        <color theme="1"/>
        <rFont val="Tahoma"/>
        <family val="2"/>
      </rPr>
      <t xml:space="preserve"> </t>
    </r>
    <r>
      <rPr>
        <sz val="12"/>
        <color theme="1"/>
        <rFont val="Tahoma"/>
        <family val="2"/>
      </rPr>
      <t>yang mendapat pelayanan kesehatan remaja berupa skrining kesehatan sesuai standar, KIE, konseling dan pelayanan medis  di wilayah kerja tertentu dalam kurun waktu satu tahun dibagi jumlah semua remaja usia 10 - 18 tahun di wilayah kerja tertentu dalam kurun waktu tahun yang sama  dikali 100%</t>
    </r>
  </si>
  <si>
    <t>2.1.3.5  Pelayanan Kesehatan Lansia</t>
  </si>
  <si>
    <r>
      <t>Pelayanan Kesehatan pada Usia Lanjut (usia ≥ 60 tahun )</t>
    </r>
    <r>
      <rPr>
        <b/>
        <sz val="12"/>
        <rFont val="Tahoma"/>
        <family val="2"/>
      </rPr>
      <t xml:space="preserve">               (Standar Pelayanan Minimal ke 7)</t>
    </r>
  </si>
  <si>
    <t>Jumlah warga negara berusia 60 tahun atau lebih yang mendapat skrining kesehatan sesuai standar minimal 1 (satu) kali di suatu wilayah kerja  dalam kurun waktu satu tahun di bagi jumlah semua warga negara berusia  60 tahun atau lebih  di suatu wilayah kerja dalam kurun waktu satu tahun yang sama di kali 100 %.</t>
  </si>
  <si>
    <t xml:space="preserve">Pelayanan Kesehatan pada  Pra usia lanjut  (45 - 59 tahun)  </t>
  </si>
  <si>
    <t>Jumlah warga negara usia 45 tahun sampai 59 tahun  yang mendapatkan pelayanan kesehatan sesuai standar di wilayah kerja tertentu dalam kurun waktu satu tahun di bagi Jumlah semua warga negara usia 45 tahun sampai 59 tahun di wilayah kerja tertentu dalam kurun waktu satu tahun yang sama di kali 100 %.</t>
  </si>
  <si>
    <r>
      <t>2.1.3.6. Pelayanan Keluarga Berencana (KB)</t>
    </r>
    <r>
      <rPr>
        <sz val="12"/>
        <color theme="1"/>
        <rFont val="Tahoma"/>
        <family val="2"/>
      </rPr>
      <t> </t>
    </r>
  </si>
  <si>
    <t>Jumlah Peserta KB aktif dibagi jumlah PUS dikali 100% 
&lt; 65 % = sesuaia capaian
65 % - 70 % = 100 %
71 % - 75 %  = 90 %
76 % - 80 % =  80 %
81 % - 85 % = 70 %
86 % - 90 % = 60 %
90 % - 100 %=50 %</t>
  </si>
  <si>
    <t xml:space="preserve">Jumlah peserta KB baru dibagi jumlah PUS dikali 100% </t>
  </si>
  <si>
    <r>
      <t xml:space="preserve"> Jumlah peserta KB yang mengalami komplikasi  dibagi jumlah KB aktif  dikali 100% .                                           
</t>
    </r>
    <r>
      <rPr>
        <b/>
        <sz val="12"/>
        <color theme="1"/>
        <rFont val="Tahoma"/>
        <family val="2"/>
      </rPr>
      <t>Catatan untuk kinerja Puskesmas</t>
    </r>
    <r>
      <rPr>
        <sz val="12"/>
        <color theme="1"/>
        <rFont val="Tahoma"/>
        <family val="2"/>
      </rPr>
      <t>:                     &lt; 3,5%          = 100%;                         
3,5 - 4,5%     = 75%;                    
&gt; 4,5-7,5%    = 50%;                     
 &gt; 7,5 -10%   = 25%                    
 &gt; 10%          = 0%</t>
    </r>
  </si>
  <si>
    <t xml:space="preserve">6. </t>
  </si>
  <si>
    <t>Jumlah PUS 4T ber KB dibagi jumlah PUS dengan 4T  dikali 100 %</t>
  </si>
  <si>
    <t xml:space="preserve">7. </t>
  </si>
  <si>
    <t>jumlah ibu paska persalinan ber KB  dibagi Jumlah sasaran ibu bersalin x 100%</t>
  </si>
  <si>
    <t>Jumlah calon pengantin perempuan yang telah mendapat pelayanan kesehatan reproduksi calon pengantin, dibagi jumlah calon pengantin perempuan yang terdaftar di KUA/lembaga agama lain di wilayah kerja Puskesmas dalam kurun waktu 1 tahun dikali 100%</t>
  </si>
  <si>
    <t>Jumlah balita 6 - 59 bulan yang mendapat kapsul Vit. A  di bagi Jumlah balita 6 - 59 bulan di kali 100 %.</t>
  </si>
  <si>
    <t xml:space="preserve">jumlah ibu hamil yang mendapat minimal 90 Tablet Tambah darah di bagi Jumlah ibu hamil yang ada di kali 100 %. </t>
  </si>
  <si>
    <t xml:space="preserve">Jumlah remaja putri  mendapat TTD di bagi Jumlah seluruh remaja puteri 12-18 tahun di sekolah di kali 100 %. </t>
  </si>
  <si>
    <t xml:space="preserve">Jumlah balita gizi kurang mendapat makanan tambahan  di bagi jumlah seluruh balita gizi kurang di kali 100 % . </t>
  </si>
  <si>
    <t xml:space="preserve">Jumlah ibu hamil KEK yang mendapat makanan tambahan di bagi Jumlah sasaran ibu hamil KEK yang ada di kali 100 % . </t>
  </si>
  <si>
    <t>Jumlah gizi buruk pada bayi 0-5 bulan + balita 6 - 59 bulan yang mendapat perawatan di bagi Jumlah seluruh gizi buruk pada balita 0-59 bulan di kali 100 % .</t>
  </si>
  <si>
    <t xml:space="preserve">jumlah kasus yang di tangani (12 kasus )  di bagi jumlah dokumen yang di buat  (12 dokumen ) </t>
  </si>
  <si>
    <t>Jumlah balita di timbang (D) di bagi Jumlah Balita yang ada (S) di kali 100 %</t>
  </si>
  <si>
    <t>Jumlah balita naik berat badannya (N) di bagi Jumlah seluruh balita yang di timbang (D ) di kali 100 %</t>
  </si>
  <si>
    <t>Jumlah balita pendek di bagi Jumlah balita yang diukur panjang /tinggi badan di kali 100 % .</t>
  </si>
  <si>
    <t xml:space="preserve">Jumlah bayi usia 6 bulan  mendapat ASI Eksklusif di bagi jumlah bayi usia 6 bulan di kali 100 %  </t>
  </si>
  <si>
    <t>Jumlah bayi baru lahir hidup yang mendapat IMD di bagi Jumlah seluruh bayi baru lahir hidup di kali 100 %</t>
  </si>
  <si>
    <r>
      <t>2.1.5.1. Diare</t>
    </r>
    <r>
      <rPr>
        <sz val="12"/>
        <rFont val="Tahoma"/>
        <family val="2"/>
      </rPr>
      <t> </t>
    </r>
  </si>
  <si>
    <t xml:space="preserve">Jumlah kontak dari kasus Kusta  baru yang diperiksa dalam 1 (satu) tahun dibagi  jumlah kontak dari kasus Kusta baru seluruhnya dikali 100% </t>
  </si>
  <si>
    <t>Jumlah penderita baru PB 1 (satu) tahun sebelumnya dan MB 2 (dua) tahun sebelumnya yang menyelesaikan pengobatan  dibagi jumlah penderita baru PB 1 (satu) tahun sebelumnya dan MB 2 (dua) tahun sebelumnya yang seharusnya menyelesaikan pengobatan dikali 100%,</t>
  </si>
  <si>
    <t>Jumlah tenaga kesehatan telah mendapat sosialisasi kusta dibagi jumlah seluruh tenaga kesehatan  dikali 100%</t>
  </si>
  <si>
    <t>Jumlah kader  Posyandu  telah mendapat sosialisasi  kusta dibagi jumlah seluruh kader Posyandu  dikali 100%</t>
  </si>
  <si>
    <t>Jumlah SD / MI  telah dilakukan screening Kusta dibagi jumlah seluruh SD / MI   dikali 100%</t>
  </si>
  <si>
    <t xml:space="preserve">jumlah  kasus TBC yang ditemukan, diobati secara baku dan dilaporkan dibagi jumlah kasus TBC yang ditemukan dan diobati dikali 100%.     
</t>
  </si>
  <si>
    <t>Jumlah orang terduga TBC yang  mendapatkan pelayanan TBC sesuai standar di fasyankes dalam kurun waktu satu tahun dibagi Jumlah target orang terduga TBC yang ada di wilayah kerja pada kurun waktu satu tahun yang sama dikali 100% (Jumlah orang terduga TBC yang ada di wilayah kerja pada kurun waktu satu tahun ditentukan oleh Dinas Kesehatan Kab/Kota masing-masing)</t>
  </si>
  <si>
    <t>Jumlah  pasien TBC yang sembuh dan pengobatan lengkap  dibagi jumlah semua kasus TBC yang diobati, dicatat dan dilaporkan  dikali 100%</t>
  </si>
  <si>
    <t>Jumlah  sekolah (SMP dan SMA/sederajat)  yang mendapatkan penyuluhan HIV/AIDS dibagi jumlah seluruh sekolah (SMP dan SMA/sederajat) di wilayah kerja Puskesmas dikali 100%</t>
  </si>
  <si>
    <r>
      <t xml:space="preserve">Orang yang beresiko terinfeksi HIV mendapatkan pemeriksaan HIV </t>
    </r>
    <r>
      <rPr>
        <b/>
        <sz val="12"/>
        <rFont val="Tahoma"/>
        <family val="2"/>
      </rPr>
      <t xml:space="preserve"> (Standar Pelayanan Minimal ke 12)</t>
    </r>
  </si>
  <si>
    <t>Jumlah orang yang beresiko terinfeksi HIV dibagi jumlah orang beresiko terinfeksi HIV yang mendapatkan pemeriksaan HIV sesuai standar di Puskesmas dan jaringannya dalam kurun waktu 1 tahun dikali 100%</t>
  </si>
  <si>
    <t>Jumlah  rumah bebas jentik dibagi jumlah rumah yang diperiksa jentiknya dikali 100 %</t>
  </si>
  <si>
    <t xml:space="preserve">Jumlah kasus DBD yang dilakukan PE dibagi jumlah seluruh kasus DBD di wilayah Puskesmas dikali 100%.                                         
Catatan: tidak dihitung sebagai pembagi bila  tidak ada  kasus DBD                                                                                                                        </t>
  </si>
  <si>
    <t xml:space="preserve">Jumlah kasus klinis Malaria yang diperiksa SD nya secara laboratorium dibagi jumlah suspect kasus Malaria dikali 100%                                               </t>
  </si>
  <si>
    <t>Jumlah penderita Malaria yang mendapat pengobatan ACT sesuai jenis Plasmodium dibagi jumlah kasus Malaria dikali 100 %</t>
  </si>
  <si>
    <t>Jumlah kasus malaria yang telah dilakukan follow up pengobatannya pada hari ke 3, 7, 14 dan 28 sampai hasil pemeriksaan laboratoriumnya negatif  dibagi jumlah kasus malaria dikali 100 %</t>
  </si>
  <si>
    <t>Jumlah kasus gigitan HPR yang dilakukan cuci luka dibagi jumlah kasus gigitan HPR dikali 100 %</t>
  </si>
  <si>
    <t xml:space="preserve">Jumlah kasus gigitan HPR terindikasi yang mendapatkan vaksinasi dibagi jumlah kasus gigitan HPR terindikasi dikali 100%                       </t>
  </si>
  <si>
    <t xml:space="preserve">Jumlah Desa UCI dibagi jumlah Desa di wilayah Puskesmas dikali 100 % </t>
  </si>
  <si>
    <t xml:space="preserve">5. </t>
  </si>
  <si>
    <t>8.</t>
  </si>
  <si>
    <t>Jumlah bulan pemantauan (grafik) suhu lemari es pagi dan sore tiap hari (lengkap harinya,VVM dan alarm dingin) dibagi jumlah bulan dalam setahun (12) dikali 100 %</t>
  </si>
  <si>
    <t>Jumlah buku stok vaksin dan pelarut yg telah diisi lengkap dibagi 12 bulan dikali 100 %</t>
  </si>
  <si>
    <t>Jumlah laporan KIPI non serius dibagi jumlah laporan 12 bulan dikali 100 %</t>
  </si>
  <si>
    <t>Jumlah laporan STP tepat waktu (Ketepatan waktu) dibagi jumlah laporan (12 bulan) dikali 100 %</t>
  </si>
  <si>
    <t>Jumlah laporan STP yang lengkap (kelengkapan laporan) dibagi jumlah laporan (12 bulan) dikali 100 %</t>
  </si>
  <si>
    <t>Jumlah desa/kelurahan yang mengalami KLB dan ditanggulangi dalam waktu kurang dari 24 (dua puluh empat) jam dibagi jumlah  desa/kelurahan yang mengalami KLB dikali 100 %</t>
  </si>
  <si>
    <t>Sekolah yang ada di wilayah Puskesmas  melaksanakan KTR</t>
  </si>
  <si>
    <t>Jumlah sekolah yang ada di wilayah Puskesmas melaksanakan KTR dibagi jumlah sekolah di wilayah Puskesmas dikali 100% (SD, SMP, SMA dan yang sederajat)</t>
  </si>
  <si>
    <t>Persentase merokok penduduk usia 10 - 18 tahun</t>
  </si>
  <si>
    <t>Jumlah orang usia 15 - 59 tahun di puskesmas yang mendapat pelayanan skrining kesehatan sesuai standar dalam kurun waktu satu tahun dibagi jumlah orang usia 15 - 59 tahun di wilayah kerja puskesmas dalam kurun waktu satu tahun yang sama dikali 100%</t>
  </si>
  <si>
    <t>2.1.5.12 Pelayanan Kesehatan Jiwa</t>
  </si>
  <si>
    <t xml:space="preserve">Keluarga binaan  yang mendapatkan asuhan keperawatan </t>
  </si>
  <si>
    <r>
      <t xml:space="preserve">Keluarga yang dibina dan mendapat Asuhan Keperawatan, dibagi jumlah keluarga yang mempunyai masalah kesehatan dikali 100 %                                              </t>
    </r>
    <r>
      <rPr>
        <b/>
        <sz val="12"/>
        <rFont val="Tahoma"/>
        <family val="2"/>
      </rPr>
      <t xml:space="preserve">  </t>
    </r>
  </si>
  <si>
    <t>Keluarga yang dibina dan telah Mandiri/ memenuhi kebutuhan kesehatan</t>
  </si>
  <si>
    <t>Keluarga yang dibina dan telah Mandiri/mencapai KM IV, dibagi jumlah seluruh keluarga yang dibina, dikali 100%</t>
  </si>
  <si>
    <t xml:space="preserve">Kelompok binaan yang mendapatkan asuhan keperawatan </t>
  </si>
  <si>
    <t>Kelompok yang dibina dibagi jumlah kelompok yang ada, dikali 100 %</t>
  </si>
  <si>
    <t>Desa/kelurahan binaan yang mendapatkan asuhan keperawatan</t>
  </si>
  <si>
    <t>Desa/kelurahan yang dibina dibagi desa/kelurahan yang ada, dikali 100 %</t>
  </si>
  <si>
    <t>Indikator UKM Esensial Dan Perkesmas</t>
  </si>
  <si>
    <t>kali</t>
  </si>
  <si>
    <t>Poskesdes/    Poskeskel</t>
  </si>
  <si>
    <t>Orang</t>
  </si>
  <si>
    <t>Desa/Kel</t>
  </si>
  <si>
    <t>Ibu hamil</t>
  </si>
  <si>
    <t xml:space="preserve">Anak </t>
  </si>
  <si>
    <t>Sekolah</t>
  </si>
  <si>
    <t xml:space="preserve">Balita </t>
  </si>
  <si>
    <t xml:space="preserve">Rumah </t>
  </si>
  <si>
    <t>Keluarga</t>
  </si>
  <si>
    <t>Kelompok Masyarakat</t>
  </si>
  <si>
    <r>
      <rPr>
        <b/>
        <sz val="12"/>
        <color rgb="FF000000"/>
        <rFont val="Tahoma"/>
        <family val="2"/>
      </rPr>
      <t xml:space="preserve">Target tahun 2022 </t>
    </r>
    <r>
      <rPr>
        <sz val="12"/>
        <color rgb="FF000000"/>
        <rFont val="Tahoma"/>
        <family val="2"/>
      </rPr>
      <t>( dalam %) atau tahun berjalan</t>
    </r>
  </si>
  <si>
    <t>Lampiran 4</t>
  </si>
  <si>
    <t>2.2.1.Pelayanan Kesehatan Gigi Masyarakat</t>
  </si>
  <si>
    <t xml:space="preserve">PAUD dan TK yang mendapat penyuluhan/pemeriksaan gigi dan mulut </t>
  </si>
  <si>
    <t>Kunjungan ke Posyandu terkait kesehatan gigi dan mulut</t>
  </si>
  <si>
    <t>Penyediaan dan penyebaran informasi tentang pencegahan &amp; penanggulangan  bahaya penyalahgunaan Napza</t>
  </si>
  <si>
    <t>Hasil pemeriksaan kesehatan jamaah haji 3 bulan sebelum operasional terdata.</t>
  </si>
  <si>
    <t>Penyehat Tradisional  yang memiliki STPT</t>
  </si>
  <si>
    <t>Kelompok Asuhan Mandiri yang terbentuk</t>
  </si>
  <si>
    <t>Panti Sehat berkelompok yang berijin</t>
  </si>
  <si>
    <t>Pembinaan Penyehat Tradisional</t>
  </si>
  <si>
    <t>Kelompok /klub olahraga yang dibina</t>
  </si>
  <si>
    <t xml:space="preserve">Pengukuran Kebugaran Calon Jamaah Haji </t>
  </si>
  <si>
    <t>Puskemas menyelenggarakan pelayanan kesehatan Olahraga internal</t>
  </si>
  <si>
    <t>Pengukuran  kebugaran Anak Sekolah</t>
  </si>
  <si>
    <t> 1</t>
  </si>
  <si>
    <t>Puskesmas menyelenggarakan K3 Puskesmas (internal)</t>
  </si>
  <si>
    <t> 2</t>
  </si>
  <si>
    <t>Puskesmas menyelenggarakan pembinaan K3 perkantoran</t>
  </si>
  <si>
    <t xml:space="preserve">Promotif dan preventif yang dilakukan pada kelompok kesehatan kerja </t>
  </si>
  <si>
    <t xml:space="preserve">Edukasi dan Pemberdayaan masyarakat tentang obat pada Gerakan masyarakat cerdas menggunakan obat </t>
  </si>
  <si>
    <t>Jumlah wilayah yang dilakukan Kegiatan   Gerakan Masyarakat Cerdas Menggunakan Obat</t>
  </si>
  <si>
    <t xml:space="preserve">Jumlah masyarakat yang telah tersosialisasikan gema cermat </t>
  </si>
  <si>
    <t>UKM Pengembangan</t>
  </si>
  <si>
    <t>2.3.1. Pelayanan Non Rawat Inap</t>
  </si>
  <si>
    <t>≥150 per mil</t>
  </si>
  <si>
    <t xml:space="preserve"> 2.</t>
  </si>
  <si>
    <t>Rasio Rujukan Rawat Jalan Kasus Non Spesialistik (RRNS)</t>
  </si>
  <si>
    <t xml:space="preserve">≤2% </t>
  </si>
  <si>
    <t xml:space="preserve">Rasio Peserta Prolanis Terkendali (RPPT) </t>
  </si>
  <si>
    <t>≥ 5%</t>
  </si>
  <si>
    <r>
      <t xml:space="preserve">Pelayanan Kesehatan Penderita Hipertensi </t>
    </r>
    <r>
      <rPr>
        <b/>
        <sz val="12"/>
        <rFont val="Tahoma"/>
        <family val="2"/>
      </rPr>
      <t xml:space="preserve"> (Standar Pelayanan Minimal ke 8)</t>
    </r>
  </si>
  <si>
    <r>
      <t xml:space="preserve">Pelayanan Kesehatan Penderita Diabetes Mellitus </t>
    </r>
    <r>
      <rPr>
        <b/>
        <sz val="12"/>
        <rFont val="Tahoma"/>
        <family val="2"/>
      </rPr>
      <t>(Standar Pelayanan Minimal ke 9)</t>
    </r>
  </si>
  <si>
    <t xml:space="preserve">Kelengkapan pengisian rekam medik </t>
  </si>
  <si>
    <t xml:space="preserve">Rasio gigi tetap yang ditambal terhadap gigi tetap yang dicabut </t>
  </si>
  <si>
    <t xml:space="preserve">  &gt;1</t>
  </si>
  <si>
    <t>Bumil yang mendapat pelayanan kesehatan gigi</t>
  </si>
  <si>
    <t>2.3.2. Pelayanan Gawat Darurat</t>
  </si>
  <si>
    <r>
      <t xml:space="preserve">Kelengkapan pengisian </t>
    </r>
    <r>
      <rPr>
        <i/>
        <sz val="12"/>
        <rFont val="Tahoma"/>
        <family val="2"/>
      </rPr>
      <t xml:space="preserve">informed consent </t>
    </r>
  </si>
  <si>
    <t>2.3.3. Pelayanan Kefarmasian</t>
  </si>
  <si>
    <t>Kesesuaian item obat yang tersedia dalam Fornas</t>
  </si>
  <si>
    <t>2 .</t>
  </si>
  <si>
    <t>Penggunaan antibiotika pada penatalaksanaan ISPA non pneumonia</t>
  </si>
  <si>
    <t>Penggunaan antibiotika pada penatalaksanaan kasus diare non spesifik</t>
  </si>
  <si>
    <t xml:space="preserve">Penggunaan  Injeksi pada Myalgia                                         </t>
  </si>
  <si>
    <t xml:space="preserve">Rerata item obat yang diresepkan </t>
  </si>
  <si>
    <t>Pengkajian resep,pelayanan resep dan pemberian informasi obat</t>
  </si>
  <si>
    <t>Konseling</t>
  </si>
  <si>
    <t>Pelayanan Informasi Obat</t>
  </si>
  <si>
    <t>2.3.4.Pelayanan laboratorium </t>
  </si>
  <si>
    <t>Kesesuaian jenis pelayanan  laboratorium dengan standar</t>
  </si>
  <si>
    <r>
      <t>Ketepatan waktu tunggu penyerahan hasil pelayanan laboratorium</t>
    </r>
    <r>
      <rPr>
        <u/>
        <sz val="12"/>
        <rFont val="Tahoma"/>
        <family val="2"/>
      </rPr>
      <t xml:space="preserve"> </t>
    </r>
    <r>
      <rPr>
        <sz val="10"/>
        <color rgb="FF000000"/>
        <rFont val="Times New Roman"/>
        <family val="1"/>
      </rPr>
      <t/>
    </r>
  </si>
  <si>
    <t>Kesesuaian hasil pemeriksaan baku mutu internal (PMI)</t>
  </si>
  <si>
    <t>2.3.5.Pelayanan Rawat Inap</t>
  </si>
  <si>
    <r>
      <rPr>
        <i/>
        <sz val="12"/>
        <rFont val="Tahoma"/>
        <family val="2"/>
      </rPr>
      <t>Bed Occupation Rate</t>
    </r>
    <r>
      <rPr>
        <sz val="12"/>
        <rFont val="Tahoma"/>
        <family val="2"/>
      </rPr>
      <t>(BOR)</t>
    </r>
  </si>
  <si>
    <t xml:space="preserve"> 10% - 60%</t>
  </si>
  <si>
    <t xml:space="preserve">Kelengkapan pengisian rekam medik rawat inap </t>
  </si>
  <si>
    <t>Angka Kontak Komunikasi</t>
  </si>
  <si>
    <t>Lampiran  10</t>
  </si>
  <si>
    <t>kasus</t>
  </si>
  <si>
    <t>berkas</t>
  </si>
  <si>
    <t>gigi</t>
  </si>
  <si>
    <t>2.5.1</t>
  </si>
  <si>
    <t>Kepatuhan Kebersihan Tangan</t>
  </si>
  <si>
    <t>2.5.2</t>
  </si>
  <si>
    <t>Kepatuhan Penggunaan Alat Pelindung Diri (APD)</t>
  </si>
  <si>
    <t>2.5.3</t>
  </si>
  <si>
    <t>Kepatuhan Identifikasi Pasien</t>
  </si>
  <si>
    <t>Keberhasilan Pengobatan Pasien TB Semua Kasus Sensitif Obat (SO)</t>
  </si>
  <si>
    <t>Ibu Hamil Yang Mendapatkan Pelayanan ANC Sesuai Standar</t>
  </si>
  <si>
    <t>Kepuasan Pasien</t>
  </si>
  <si>
    <t>Lampiran 11</t>
  </si>
  <si>
    <t>Pasien</t>
  </si>
  <si>
    <t xml:space="preserve">Interpretasi rata2  kinerja mutu: </t>
  </si>
  <si>
    <t>≥ 91%</t>
  </si>
  <si>
    <r>
      <rPr>
        <sz val="12"/>
        <color theme="1"/>
        <rFont val="Calibri"/>
        <family val="2"/>
      </rPr>
      <t>≤</t>
    </r>
    <r>
      <rPr>
        <sz val="12"/>
        <color theme="1"/>
        <rFont val="Tahoma"/>
        <family val="2"/>
      </rPr>
      <t xml:space="preserve"> 80%</t>
    </r>
  </si>
  <si>
    <t xml:space="preserve">Interpretasi rata2  kinerja program UKP: </t>
  </si>
  <si>
    <r>
      <rPr>
        <b/>
        <sz val="12"/>
        <color rgb="FF000000"/>
        <rFont val="Tahoma"/>
        <family val="2"/>
      </rPr>
      <t>Target Sasaran</t>
    </r>
    <r>
      <rPr>
        <sz val="12"/>
        <color rgb="FF000000"/>
        <rFont val="Tahoma"/>
        <family val="2"/>
      </rPr>
      <t xml:space="preserve">  = kolom 3 ( Target tahun 2022) dikali kolom 5 (total sasaran), jml sasaran/area yg akan diberi pelayanan oleh Puskesmas</t>
    </r>
  </si>
  <si>
    <r>
      <rPr>
        <b/>
        <sz val="12"/>
        <color theme="1"/>
        <rFont val="Tahoma"/>
        <family val="2"/>
      </rPr>
      <t>Ketercapaian target</t>
    </r>
    <r>
      <rPr>
        <sz val="12"/>
        <color theme="1"/>
        <rFont val="Tahoma"/>
        <family val="2"/>
      </rPr>
      <t xml:space="preserve"> tahun 2022 : membandingkan % target tahun 2022 ( kolom 3) dengan % capaian riil ( kolom 8)</t>
    </r>
  </si>
  <si>
    <r>
      <rPr>
        <b/>
        <sz val="11"/>
        <color theme="1"/>
        <rFont val="Tahoma"/>
        <family val="2"/>
      </rPr>
      <t>Ketercapaian target</t>
    </r>
    <r>
      <rPr>
        <sz val="11"/>
        <color theme="1"/>
        <rFont val="Tahoma"/>
        <family val="2"/>
      </rPr>
      <t xml:space="preserve"> tahun 2022 : membandingkan % target tahun 2022 ( kolom 3) dengan % capaian riil ( kolom 8)</t>
    </r>
  </si>
  <si>
    <r>
      <rPr>
        <b/>
        <sz val="12"/>
        <color rgb="FF000000"/>
        <rFont val="Tahoma"/>
        <family val="2"/>
      </rPr>
      <t xml:space="preserve">% Kinerja Puskesmas : </t>
    </r>
    <r>
      <rPr>
        <sz val="12"/>
        <color rgb="FF000000"/>
        <rFont val="Tahoma"/>
        <family val="2"/>
      </rPr>
      <t>pencapaian kinerja Puskesmas dibandingkan Target Sasaran, penilaian ketercapaian target sasaran</t>
    </r>
  </si>
  <si>
    <r>
      <rPr>
        <b/>
        <sz val="12"/>
        <color rgb="FF000000"/>
        <rFont val="Tahoma"/>
        <family val="2"/>
      </rPr>
      <t>%  Kinerja Sub Variabel</t>
    </r>
    <r>
      <rPr>
        <sz val="12"/>
        <color rgb="FF000000"/>
        <rFont val="Tahoma"/>
        <family val="2"/>
      </rPr>
      <t>/Variabel/Program Puskesmas : Pencapaian  ( kolom 7) dibagi Target sasaran ( kolom 6) dikali 100%</t>
    </r>
  </si>
  <si>
    <r>
      <rPr>
        <b/>
        <sz val="12"/>
        <color rgb="FF000000"/>
        <rFont val="Tahoma"/>
        <family val="2"/>
      </rPr>
      <t>% kinerja variabel Puskesmas :</t>
    </r>
    <r>
      <rPr>
        <sz val="12"/>
        <color rgb="FF000000"/>
        <rFont val="Tahoma"/>
        <family val="2"/>
      </rPr>
      <t xml:space="preserve"> penjumlahan % kinerja subvariabel ( kolom 9) dibagi sejumlah subvariabel</t>
    </r>
  </si>
  <si>
    <r>
      <rPr>
        <b/>
        <sz val="12"/>
        <color rgb="FF000000"/>
        <rFont val="Tahoma"/>
        <family val="2"/>
      </rPr>
      <t>% kinerja rata2 program :</t>
    </r>
    <r>
      <rPr>
        <sz val="12"/>
        <color rgb="FF000000"/>
        <rFont val="Tahoma"/>
        <family val="2"/>
      </rPr>
      <t xml:space="preserve"> penjumlahan % kinerja variabel  ( kolom 10) dibagi sejumlah variabel</t>
    </r>
  </si>
  <si>
    <r>
      <rPr>
        <b/>
        <sz val="12"/>
        <color rgb="FF000000"/>
        <rFont val="Tahoma"/>
        <family val="2"/>
      </rPr>
      <t xml:space="preserve">Rencana Tindak lanjut </t>
    </r>
    <r>
      <rPr>
        <sz val="12"/>
        <color rgb="FF000000"/>
        <rFont val="Tahoma"/>
        <family val="2"/>
      </rPr>
      <t>: berhubungan dengan analisa akar penyebab masalah</t>
    </r>
  </si>
  <si>
    <r>
      <rPr>
        <b/>
        <sz val="12"/>
        <color rgb="FF000000"/>
        <rFont val="Tahoma"/>
        <family val="2"/>
      </rPr>
      <t xml:space="preserve">Target tahun 2022 </t>
    </r>
    <r>
      <rPr>
        <sz val="12"/>
        <color rgb="FF000000"/>
        <rFont val="Tahoma"/>
        <family val="2"/>
      </rPr>
      <t>(dalam %) atau tahun berjalan</t>
    </r>
  </si>
  <si>
    <r>
      <rPr>
        <b/>
        <sz val="12"/>
        <color rgb="FF000000"/>
        <rFont val="Tahoma"/>
        <family val="2"/>
      </rPr>
      <t>Total Sasaran</t>
    </r>
    <r>
      <rPr>
        <sz val="12"/>
        <color rgb="FF000000"/>
        <rFont val="Tahoma"/>
        <family val="2"/>
      </rPr>
      <t xml:space="preserve">: sasaran target keseluruhan (100%), jumlah populasi/area di wilayah kerja </t>
    </r>
  </si>
  <si>
    <r>
      <rPr>
        <b/>
        <sz val="12"/>
        <color rgb="FF000000"/>
        <rFont val="Tahoma"/>
        <family val="2"/>
      </rPr>
      <t>Target Sasaran</t>
    </r>
    <r>
      <rPr>
        <sz val="12"/>
        <color rgb="FF000000"/>
        <rFont val="Tahoma"/>
        <family val="2"/>
      </rPr>
      <t xml:space="preserve"> : kolom 3 (Target tahun 2022) dikali kolom 5 (total sasaran), jml sasaran/area yg akan diberi pelayanan oleh Puskesmas</t>
    </r>
  </si>
  <si>
    <r>
      <rPr>
        <b/>
        <sz val="12"/>
        <color rgb="FF000000"/>
        <rFont val="Tahoma"/>
        <family val="2"/>
      </rPr>
      <t>% cakupan riil :</t>
    </r>
    <r>
      <rPr>
        <sz val="12"/>
        <color rgb="FF000000"/>
        <rFont val="Tahoma"/>
        <family val="2"/>
      </rPr>
      <t xml:space="preserve"> kolom 7  (pencapaian) dibagi kolom 5 (total sasaran) dikali 100%; cakupan sesungguhnya dari tiap program, dibandingkan dengan total sasaran.</t>
    </r>
  </si>
  <si>
    <t xml:space="preserve">2.1.UKM Esensial  dan Perkesmas </t>
  </si>
  <si>
    <t>2.1.6  Pelayanan Keperawatan Kesehatan Masyarakat ( Perkesmas)</t>
  </si>
  <si>
    <t>2.1.1.Pelayanan Promosi Kesehatan   </t>
  </si>
  <si>
    <t>2.1.2. Pelayanan Kesehatan Lingkungan </t>
  </si>
  <si>
    <r>
      <t>2.1.4. Pelayanan Gizi</t>
    </r>
    <r>
      <rPr>
        <sz val="12"/>
        <rFont val="Tahoma"/>
        <family val="2"/>
      </rPr>
      <t> </t>
    </r>
  </si>
  <si>
    <t xml:space="preserve">Pelayanan Kesehatan Keluarga </t>
  </si>
  <si>
    <t>2.1.5.Pelayanan Pencegahan dan Pengendalian Penyakit </t>
  </si>
  <si>
    <t>-</t>
  </si>
  <si>
    <t xml:space="preserve"> </t>
  </si>
  <si>
    <t>desa</t>
  </si>
  <si>
    <t>panti sehat</t>
  </si>
  <si>
    <t>Kelompok</t>
  </si>
  <si>
    <t>Kantor</t>
  </si>
  <si>
    <t>kelompok</t>
  </si>
  <si>
    <t>item obat</t>
  </si>
  <si>
    <t>obat</t>
  </si>
  <si>
    <t>resep</t>
  </si>
  <si>
    <t>jenis</t>
  </si>
  <si>
    <t>menit</t>
  </si>
  <si>
    <t>pemeriksaan</t>
  </si>
  <si>
    <t>Bed</t>
  </si>
  <si>
    <t>1.2.</t>
  </si>
  <si>
    <t>1.1.</t>
  </si>
  <si>
    <t xml:space="preserve">Manajemen Umum </t>
  </si>
  <si>
    <t>Manajemen Peralatan dan Sarana Prasarana</t>
  </si>
  <si>
    <t xml:space="preserve">1.3.  </t>
  </si>
  <si>
    <t>Manajemen Keuangan</t>
  </si>
  <si>
    <t>1.4.</t>
  </si>
  <si>
    <t>Manajemen Sumber Daya Manusia</t>
  </si>
  <si>
    <t>ADMEN</t>
  </si>
  <si>
    <t>2.2 UKM Pengembangan</t>
  </si>
  <si>
    <t>2.3 UKP</t>
  </si>
  <si>
    <t>2.5 MUTU</t>
  </si>
  <si>
    <t xml:space="preserve">1.5.  </t>
  </si>
  <si>
    <t>Manajemen Pelayanan Kefarmasian (Pengelolaan obat, vaksin, reagen dan bahan habis pakai)</t>
  </si>
  <si>
    <t>UKP</t>
  </si>
  <si>
    <t>2.3.5</t>
  </si>
  <si>
    <t>Pelayanan Rawat Inap</t>
  </si>
  <si>
    <t>2.3.4</t>
  </si>
  <si>
    <t>Pelayanan laboratorium </t>
  </si>
  <si>
    <t xml:space="preserve">2.3.3 </t>
  </si>
  <si>
    <t>Pelayanan Kefarmasian</t>
  </si>
  <si>
    <t>2.3.2</t>
  </si>
  <si>
    <t>Pelayanan Gawat Darurat</t>
  </si>
  <si>
    <t>2.3.1</t>
  </si>
  <si>
    <t>Pelayanan Non Rawat Inap</t>
  </si>
  <si>
    <t xml:space="preserve">Pelayanan Kefarmasian </t>
  </si>
  <si>
    <t>2.2.7</t>
  </si>
  <si>
    <t>Pelayanan Kesehatan Kerja</t>
  </si>
  <si>
    <t>2.2.6</t>
  </si>
  <si>
    <t>Pelayanan Kesehatan Olahraga</t>
  </si>
  <si>
    <t>2.2.5</t>
  </si>
  <si>
    <t>Pelayanan Kesehatan Tradisional</t>
  </si>
  <si>
    <t>2.2.4</t>
  </si>
  <si>
    <t xml:space="preserve">Pelayanan Kesehatan Matra </t>
  </si>
  <si>
    <t>Penanganan Masalah Penyalahgunaan Napza</t>
  </si>
  <si>
    <t>2.2.2</t>
  </si>
  <si>
    <t>2.2.1</t>
  </si>
  <si>
    <t>Pelayanan Kesehatan Gigi Masyarakat</t>
  </si>
  <si>
    <t>2.1.5.1</t>
  </si>
  <si>
    <t>Diare </t>
  </si>
  <si>
    <t>2.1.5.2</t>
  </si>
  <si>
    <t>ISPA (Infeksi Saluran Pernapasan Atas) </t>
  </si>
  <si>
    <t>2.1.5.3</t>
  </si>
  <si>
    <t>Kusta </t>
  </si>
  <si>
    <t xml:space="preserve">2.1.5.4 </t>
  </si>
  <si>
    <t>TBC</t>
  </si>
  <si>
    <t>2.1.5.5</t>
  </si>
  <si>
    <t>Pencegahan dan Penanggulangan PMS dan  HIV/AIDS </t>
  </si>
  <si>
    <t>2.1.5.6</t>
  </si>
  <si>
    <t>Demam Berdarah Dengue  (DBD) </t>
  </si>
  <si>
    <t>2.1.5.7</t>
  </si>
  <si>
    <t>Malaria </t>
  </si>
  <si>
    <t>2.1.5.8</t>
  </si>
  <si>
    <t>Pencegahan dan Penanggulangan Rabies </t>
  </si>
  <si>
    <t>2.1.5.9</t>
  </si>
  <si>
    <t xml:space="preserve">Pelayanan Imunisasi </t>
  </si>
  <si>
    <t>2.1.5.10</t>
  </si>
  <si>
    <t>Pengamatan Penyakit (Surveillance Epidemiology)</t>
  </si>
  <si>
    <t>2.1.5.11</t>
  </si>
  <si>
    <t>Pencegahan dan Pengendalian Penyakit Tidak Menular</t>
  </si>
  <si>
    <t>2.1.4.1</t>
  </si>
  <si>
    <t>Pelayanan Gizi Masyarakat</t>
  </si>
  <si>
    <t>2.1.4.2</t>
  </si>
  <si>
    <t>Penanggulangan Gangguan Gizi </t>
  </si>
  <si>
    <t>2.1.4.3</t>
  </si>
  <si>
    <t>Pemantauan Status Gizi</t>
  </si>
  <si>
    <t>2.1.3.6</t>
  </si>
  <si>
    <t>Pelayanan Keluarga Berencana (KB) </t>
  </si>
  <si>
    <t xml:space="preserve">2.1.3.5  </t>
  </si>
  <si>
    <t>Pelayanan Kesehatan Lansia</t>
  </si>
  <si>
    <t>2.1.3.4</t>
  </si>
  <si>
    <t>Kesehatan Anak Usia Sekolah dan Remaja </t>
  </si>
  <si>
    <t>2.1.3.3</t>
  </si>
  <si>
    <t>Kesehatan Anak Balita dan Anak Prasekolah </t>
  </si>
  <si>
    <t>2.1.3.2</t>
  </si>
  <si>
    <t>Kesehatan Bayi </t>
  </si>
  <si>
    <t>2.1.3.1</t>
  </si>
  <si>
    <t>Kesehatan Ibu</t>
  </si>
  <si>
    <t>2.1.5  Pelayanan Pencegahan dan Pengendalian Penyakit </t>
  </si>
  <si>
    <t xml:space="preserve">2.1.1.1 </t>
  </si>
  <si>
    <t>Pengkajian PHBS (Perilaku Hidup Bersih dan Sehat)  </t>
  </si>
  <si>
    <t>2.1.1.2</t>
  </si>
  <si>
    <t>Tatanan Sehat </t>
  </si>
  <si>
    <t>2.1.1.3</t>
  </si>
  <si>
    <t>Intervensi/ Penyuluhan </t>
  </si>
  <si>
    <t>2.1.1.4</t>
  </si>
  <si>
    <t>Pengembangan UKBM</t>
  </si>
  <si>
    <t xml:space="preserve">2.1.1.5 </t>
  </si>
  <si>
    <t>Pengembangan Desa/Kelurahan Siaga Aktif </t>
  </si>
  <si>
    <t>2.1.1.6</t>
  </si>
  <si>
    <t>Promosi Kesehatan dan Pemberdayaan Masyarakat</t>
  </si>
  <si>
    <t>2.1.2.1</t>
  </si>
  <si>
    <t>Penyehatan Air  </t>
  </si>
  <si>
    <t>2.1.2.2</t>
  </si>
  <si>
    <t>Penyehatan Makanan dan Minuman </t>
  </si>
  <si>
    <t>2.1.2.3</t>
  </si>
  <si>
    <t>Pembinaan Tempat-Tempat Umum ( TTU )  </t>
  </si>
  <si>
    <t>2.1.2.4</t>
  </si>
  <si>
    <t>Yankesling (Klinik Sanitasi) </t>
  </si>
  <si>
    <t>2.1.2.5</t>
  </si>
  <si>
    <t>Sanitasi Total Berbasis Masyarakat ( STBM ) = Pemberdayaan Masyarakat </t>
  </si>
  <si>
    <t>KINERJA ADMEN</t>
  </si>
  <si>
    <t>KINERJA PUSKESMAS</t>
  </si>
  <si>
    <t xml:space="preserve">KINERJA PROGRAM </t>
  </si>
  <si>
    <t>sekolah</t>
  </si>
  <si>
    <t>bulan</t>
  </si>
  <si>
    <t>≤ 80%</t>
  </si>
  <si>
    <t>Ada, dokumen corrective action,dafar hadir, notulen hasil  lokmin,undangan rapat lokmin tiap bulan lengkap</t>
  </si>
  <si>
    <t>Inspeksi Kesehatan Lingkungan Sarana Air Minum (SAM)</t>
  </si>
  <si>
    <t>Sarana Air Minum (SAM) yang telah di IKL</t>
  </si>
  <si>
    <t xml:space="preserve">Sarana Air Minum (SAM) yang diperiksa kualitas airnya </t>
  </si>
  <si>
    <t>Jumlah SAM yang di IKL dibagi jumlah SAM yang ada dikali 100 %</t>
  </si>
  <si>
    <t>Jumlah SAM yang di IKL dengan hasil rendah dan sedang dibagi jumlah SAM yang di IKL dikali  100 %</t>
  </si>
  <si>
    <t>Jumlah SAM yang di uji kualitas airnya dibagi jumlah SAM resiko rendah dan sedang dikali 100%</t>
  </si>
  <si>
    <t>Jumlah SAM yang uji kulitas airnya memenuhi syarat dibagi jumlah SAM yang diuji kualitas airnya</t>
  </si>
  <si>
    <t>Sarana Air Minum (SAM) yang memenuhi syarat</t>
  </si>
  <si>
    <t>SAM</t>
  </si>
  <si>
    <t>2.1.2.2.Penyehatan Tempat Pengelolaan Pangan (TPP)</t>
  </si>
  <si>
    <t xml:space="preserve">Pembinaan Tempat Pengelolaan Pangan (TPP) </t>
  </si>
  <si>
    <t xml:space="preserve">TPP yang memenuhi syarat kesehatan </t>
  </si>
  <si>
    <t>Jumlah TPP yang di IKL dibagi jumlah TPP yang ada dikali 100 %</t>
  </si>
  <si>
    <t>Jumlah TPP yang memenuhi syarat kesehatan  dibagi jumlah TPP yang dibina dikali 100 %</t>
  </si>
  <si>
    <t xml:space="preserve">Inspeksi Kesehatan Lingkungan PBL </t>
  </si>
  <si>
    <t>Intervensi terhadap pasien PBL yang di IKL</t>
  </si>
  <si>
    <t>Jumlah IKL sarana pasien PBL yang dikonseling dibagi dengan jumlah pasien yang dikonseling dikali 100%</t>
  </si>
  <si>
    <t>Jumlah pasien PBL yang menindaklanjuti hasil inspeksi dibagi jumlah pasien PBL yang di IKL dikali 100%</t>
  </si>
  <si>
    <t>Desa/ Kelurahan Implementasi STBM 5 Pilar</t>
  </si>
  <si>
    <t>Jumlah Desa/Kelurahan implementasi STBM 5 Pilar dibagi jumlah desa/kelurahan yang ada dikali 100%</t>
  </si>
  <si>
    <t>Jumlah Desa/ Kelurahan STBM 5 Pilar dibagi jumlah Desa/ Kelurahan yang ada dikali 100 %</t>
  </si>
  <si>
    <t xml:space="preserve">Cakupan Pemberian Oralit dan Zinc pada Penderita Diare Balita </t>
  </si>
  <si>
    <t>Jumlah penderita diare balita yang mendapat oralit dan tablet Zinc yang datang dan dilayani di sarana kesehatan dibagi total penderita diare balita di sarana kesehatan dikali 100 %</t>
  </si>
  <si>
    <t>2.1.5.2. Pencegahan dan Penanggulangan Hepatitis B pada Ibu Hamil</t>
  </si>
  <si>
    <t>Deteksi Dini Hepatitis B pada Ibu Hamil</t>
  </si>
  <si>
    <t>Tatalaksana bu Hamil dengan Hepatitis B Reaktiif</t>
  </si>
  <si>
    <t>Bumil</t>
  </si>
  <si>
    <t>Pemeriksaan HBsAg pada ibu hamil dengan RDT HBsAg (baik dari Kemenkes atau APBD II) dan pemeriksaan metode lain.  Persentase ibu hamil yang diperiksa = jumlah ibu hamil yang diperiksa HBsAg dalam kurun waktu tertentu dibagi jumlah ibu hamil dalam kurun waktu yang sama dikali 100%</t>
  </si>
  <si>
    <t>Jumlah ibu hamil dengan HBsAg Reaktif dirujuk dalam kurun waktu tertentu dibagi dengan jumlah total ibu hamil dengan HBsAg Reaktif dalam kurun waktu yang sama dikali 100%</t>
  </si>
  <si>
    <t xml:space="preserve">Cakupan Penemuan penderita Pneumonia balita </t>
  </si>
  <si>
    <r>
      <t>2.1.5.3. ISPA (Infeksi Saluran Pernapasan Atas)</t>
    </r>
    <r>
      <rPr>
        <sz val="12"/>
        <rFont val="Tahoma"/>
        <family val="2"/>
      </rPr>
      <t> </t>
    </r>
  </si>
  <si>
    <t>Penderita kasus pneumonia yang diobati sesuai standart</t>
  </si>
  <si>
    <t>Jumlah penderita Pnemonia balita yang ditangani dibagi target perkiraan balita dikali 100%.                                                                                                                                                                                                           Target balita =  4,45 % x jml balita</t>
  </si>
  <si>
    <t xml:space="preserve">Jumlah kasus balita  Pnemonia yang diberi pengobatan antibiotik  dibagi seluruh kasus pneumonia pada balita yang berkunjung ke fasyankes di kali 100%                                                                                                                                                                                                    </t>
  </si>
  <si>
    <r>
      <t>2.1.5.4.Kusta</t>
    </r>
    <r>
      <rPr>
        <sz val="12"/>
        <rFont val="Tahoma"/>
        <family val="2"/>
      </rPr>
      <t> </t>
    </r>
  </si>
  <si>
    <r>
      <rPr>
        <sz val="12"/>
        <rFont val="Calibri"/>
        <family val="2"/>
      </rPr>
      <t>≥</t>
    </r>
    <r>
      <rPr>
        <sz val="12"/>
        <rFont val="Tahoma"/>
        <family val="2"/>
      </rPr>
      <t>90%</t>
    </r>
  </si>
  <si>
    <t>Persentase pasien TBC dilakukan Investigasi Kontak</t>
  </si>
  <si>
    <t>Jumlah TBC yang dilakukan investigasi kontak dibagi jumlah semua pasien TBC yang diobati, dicatat dan dilaporkan dikali 100%</t>
  </si>
  <si>
    <t xml:space="preserve">2.1.5.5.TBC </t>
  </si>
  <si>
    <r>
      <t>2.1.5.6.Pencegahan dan Penanggulangan PMS dan  HIV/AIDS</t>
    </r>
    <r>
      <rPr>
        <sz val="12"/>
        <rFont val="Tahoma"/>
        <family val="2"/>
      </rPr>
      <t> </t>
    </r>
  </si>
  <si>
    <r>
      <t>2.1.5.7. Demam Berdarah Dengue  (DBD)</t>
    </r>
    <r>
      <rPr>
        <sz val="12"/>
        <rFont val="Tahoma"/>
        <family val="2"/>
      </rPr>
      <t> </t>
    </r>
  </si>
  <si>
    <r>
      <t>2.1.5.8. Malaria</t>
    </r>
    <r>
      <rPr>
        <sz val="12"/>
        <rFont val="Tahoma"/>
        <family val="2"/>
      </rPr>
      <t> </t>
    </r>
  </si>
  <si>
    <r>
      <t>2.1.5.9. Pencegahan dan Penanggulangan Rabies</t>
    </r>
    <r>
      <rPr>
        <sz val="12"/>
        <rFont val="Tahoma"/>
        <family val="2"/>
      </rPr>
      <t> </t>
    </r>
  </si>
  <si>
    <t xml:space="preserve">2.1.5.10. Pelayanan Imunisasi </t>
  </si>
  <si>
    <t>Jumlah bayi usia 0-11 bulan yang mendapat imunisasi dasar lengkap yang terdiri dari: satu dosis Imunisasi Hepatitis B, satu dosis imunisasi BCG, empat dosis imunisasi Polio oral, satu dosis imunisasi IPV, tiga dosis imunisasi DPT-HB-Hib, dan satu dosis imunisasi Campak Rubella dalam kurun waktu satu tahun dibagi 95% jumlah bayi yang diperkirakan hidup usia 0-11 bulan (Surviving Infant ) selama kurun waktu yang sama, dikali 100.</t>
  </si>
  <si>
    <t>Persentase anak usia 12-24 bulan yang mendapat imunisasi lanjutan baduta</t>
  </si>
  <si>
    <t>Persentase anak yang mendapatkan imunisasi lanjutan lengkap di usia sekolah dasar</t>
  </si>
  <si>
    <t>Persentase wanita usia subur yang memiliki status imunisasi T2+</t>
  </si>
  <si>
    <t>9.</t>
  </si>
  <si>
    <t>2.1.5.11.Pengamatan Penyakit (Surveillance Epidemiology)</t>
  </si>
  <si>
    <t>Laporan MR01 tepat waktu</t>
  </si>
  <si>
    <t>Kelengkapan laporan MR01</t>
  </si>
  <si>
    <t xml:space="preserve">Ketepatan Laporan W2 (format SKDR)  </t>
  </si>
  <si>
    <t>Kelengkapan laporan W2 (format SKDR)</t>
  </si>
  <si>
    <t>Persentase Alert yang direspon peringatan ini KLB/Wabah (alert systems) minimal 80% di Puskesmas</t>
  </si>
  <si>
    <t>Persentase kabupaten/kota yang memiliki peta risiko penyakit infeksi emerging</t>
  </si>
  <si>
    <t>kab/kota</t>
  </si>
  <si>
    <t>Jumlah laporan MR01 tepat waktu dibagi jumlah laporan (12 bulan) dikali 100 %</t>
  </si>
  <si>
    <t>Jumlah laporan MR01 lengkap dibagi jumlah laporan (12 bulan) dikali 100 %</t>
  </si>
  <si>
    <t>Jumlah laporan W2 (format SKDR)  yang masuk dari unit pelapor puskesmas, rumah sakit) secara tepat waktu dibagi jumlah unit pelapor (puskesmas, rumah sakit dikali 100 %</t>
  </si>
  <si>
    <t>Jumlah laporan W2 (format SKDR)  yang masuk dari unit pelapor puskesmas, rumah sakit)  dibagi jumlah laporan yang harus masuk dari unit pelapor (puskesmas, rumah sakit dikali 100 %</t>
  </si>
  <si>
    <t>Jumlah Alert yang direspons   ≥ 80% dibagi jumlah seluruh alert di Puskesmas dalam kurun waktu tertentu  dikali 100%</t>
  </si>
  <si>
    <t xml:space="preserve">Jumlah kab/kota yang melakukan pemetaan risiko
penyakit infeksi emerging ≥ 1x dalam setahun dibagi jumlah kab/kota  padatahun yang sama dikali 100% </t>
  </si>
  <si>
    <t>2.1.5.12.Pencegahan dan Pengendalian Penyakit Tidak Menular</t>
  </si>
  <si>
    <t>Prosentase Penderita TB yang diperiksa Gula darahnya</t>
  </si>
  <si>
    <t>Deteksi Dini Gangguan Indera</t>
  </si>
  <si>
    <t>Deteksi Dini  Kanker  Leher Rahim</t>
  </si>
  <si>
    <t>Deteksi Dini Kanker Payudara</t>
  </si>
  <si>
    <t>Deteksi Dini  Penyakit Paru Obstruksi Kronis (PPOK)</t>
  </si>
  <si>
    <t xml:space="preserve">Deteksi Dini Penyakit Jantung </t>
  </si>
  <si>
    <t>Deteksi Dini Stroke</t>
  </si>
  <si>
    <t>Deteksi Dini Penyakit Diabetes Melitus</t>
  </si>
  <si>
    <t xml:space="preserve">Deteksi Dini Obesitas </t>
  </si>
  <si>
    <t xml:space="preserve">Deteksi Dini Penyakit Hipertensi </t>
  </si>
  <si>
    <t>Puskesmas menyelenggarakan layanan Upaya  Berhenti Merokok (UBM)</t>
  </si>
  <si>
    <t xml:space="preserve"> &lt; 8,8 %</t>
  </si>
  <si>
    <t>Tempat Anak Bermain yang ada di wilayah Puskesmas  melaksanakan KTR</t>
  </si>
  <si>
    <t>Fasyankes yang ada di wilayah Puskesmas  melaksanakan KTR</t>
  </si>
  <si>
    <t xml:space="preserve">Jumlah fasyankes (RS, Puskesmas, klinik) yang ada di wilayah Puskesmas melaksanakan KTR dibagi jumlah fasyankes (RS, Puskesmas, klinik) di wilayah Puskesmas dikali 100%  </t>
  </si>
  <si>
    <t xml:space="preserve">Jumlah Tempat Anak Bermain (PAUD, TK, taman kota) yang ada di wilayah Puskesmas melaksanakan KTR dibagi jumlah Taman Bermain Anak (PAUD, TK, Taman Kota) di wilayah Puskesmas dikali 100%  </t>
  </si>
  <si>
    <t>Jumlah penduduk usia 10-18 tahun yang merokok diwilayah kerja puskesmas dibagi jumlah penduduk usia 10-18 tahun di wilayah puskesmas  dikali 100%</t>
  </si>
  <si>
    <t>Jumlah Puskesmas yang menyelenggarakan layanan Upaya Berhenti Merokok (UBM) dibagi jumlah puskesmas di wilayah puskesmas dikali 100%</t>
  </si>
  <si>
    <t>Jumlah penduduk usia ≥ 15 tahun yang diperiksa Obesitas  (IMT/Lingkar Perut)  dibagi Jumlah sasaran penduduk usia ≥ 15 tahun di  wilayah kerja puskesmas dalam kurun waktu satu tahun yang sama dikali 100%</t>
  </si>
  <si>
    <t xml:space="preserve">Jumlah penduduk usia ≥ 40 tahun dan  penduduk usia 15-39 tahun  dengan obesitas   yang diperiksa Gula Darah   dibagi Jumlah sasaran penduduk usia ≥ 40 tahu  dan penduduk usia 15-39 tahun dengan obesitas di  wilayah kerja puskesmas dalam kurun waktu satu tahun yang sama dikali 100% . Perhitungan penduduk usia 15-39 tahun dengan obesitas adalah jumlah penduduk usia 15-39 tahun x prevalensi obesitas per wilayah (hasil Riskesdas 2018)
</t>
  </si>
  <si>
    <t xml:space="preserve">Jumlah penderita Hipertensi dan DM usia ≥ 40 tahun  yang diperiksa Profil Lipid  dibagi Jumlah penderita Hipertensi dan DM usia ≥ 40 tahun di  wilayah kerja puskesmas dalam kurun waktu satu tahun yang sama dikali 100%
</t>
  </si>
  <si>
    <t>Jumlah penderita Hipertensi dan DM usia ≥ 40 tahun   yang diperiksa EKG dibagi Jumlah penderita Hipertensi dan DM  usia ≥ 40 tahun di  wilayah kerja puskesmas dalam kurun waktu satu tahun yang sama dikali 100%</t>
  </si>
  <si>
    <t>Jumlah perokok usia ≥ 40 tahun yang diperiksa PUMA dibagi Jumlah Perokok usia ≥ 40 di wilayah kerja puskesmas dalam kurun waktu satu tahun yang sama dikali 100%. Jumlah Perokok usia ≥ 40 didapatkan dari jumlah penduduk usia 40 th+ pada KMK No HK.01.07/ MENKES/ 5675/ 2021 dikalikan proporsi merokok (perokok setiap hari + perokok kadang-kadang) pada Riskesdas 2018</t>
  </si>
  <si>
    <t xml:space="preserve">Jumlah Wanita usia 30 – 50 tahun yang dideteksi dini Kanker Payudara dalam 3 tahun terakhir dibagi Jumlah sasaran dari penduduk Wanita usia 30 – 50 tahun  di  wilayah kerja puskesmas dalam kurun waktu satu tahun yang sama dikali 100%.   
</t>
  </si>
  <si>
    <t xml:space="preserve">Jumlah Wanita usia 30 – 50 tahun yang dideteksi dini Kanker Leher Rahim dalam 3 tahun terakhir   dibagi Jumlah sasaran dari penduduk Wanita usia 30 – 50 tahun   di  wilayah kerja puskesmas dalam kurun waktu satu tahun yang sama dikali 100%.   
</t>
  </si>
  <si>
    <t xml:space="preserve">Jumlah penduduk usia 7 keatas  yang dilakukan deteksi Dini Indera  (Gangguan Penglihatan dan atau gangguan pendengaran) dibagi Jumlah penduduk usia 7  ke atas  di  wilayah kerja puskesmas dalam kurun waktu satu tahun yang sama dikali 100%.   </t>
  </si>
  <si>
    <t xml:space="preserve">Jumlah Penderita TB  diperiksa Gula darahnya   dibagi  Jumlah penderita TB yang  berobat di FKTP dalam kurun waktu satu tahun yang sama dikali 100%.   </t>
  </si>
  <si>
    <t>Fasyankes</t>
  </si>
  <si>
    <t>Tempat Bermain</t>
  </si>
  <si>
    <t>2.1.5.13 Pelayanan Kesehatan Jiwa</t>
  </si>
  <si>
    <t>Persentase penduduk usia ≥ 15 tahun dengan risiko masalah kesehatan jiwa yang mendapatkan skrining</t>
  </si>
  <si>
    <t xml:space="preserve">60% 
</t>
  </si>
  <si>
    <t>Persentase penyandang gangguan jiwa yang memperoleh layanan di Fasyankes</t>
  </si>
  <si>
    <t xml:space="preserve">60 %
</t>
  </si>
  <si>
    <t>Jumlah kunjungan pasien pasung</t>
  </si>
  <si>
    <t xml:space="preserve">100%
</t>
  </si>
  <si>
    <t>Persentase kasus pasung yang dilepaskan/dibebaskan</t>
  </si>
  <si>
    <t xml:space="preserve">10%
</t>
  </si>
  <si>
    <t xml:space="preserve">Jumlah penduduk usia ≥15 tahun dengan risiko masalah kesehatan jiwa yang mendapatkan skrining, 
dibagi
Jumlah estimasi penduduk ≥15 tahun dengan risiko masalah kesehatan jiwa,
dikali 100%
</t>
  </si>
  <si>
    <t xml:space="preserve">Jumlah penderita gangguan jiwa (penyandang gangguan campuran cemas dan depresi serta penyandang skizofrenia) yang dilayani di fasyankes,
dibagi
Jumlah estimasi penderita gangguan jiwa (penyandang gangguan campuran cemas dan depresi berat dan penyandang skizofrenia) yang mendapatkan layanan di Fasyankes berdasarkan riskedas terbaru,
dikali 100%
</t>
  </si>
  <si>
    <t>Jumlah pasien pasung yang dikunjungi petugas atau Kader Kesehatan Jiwa (KKJ) dalam kurun waktu satu tahun,
dibagi
Jumlah pasien pasung yang ada di wilayah kerja puskesmas
dikali 100%
Jika pada wilayah kerja tidak ditemukan kasus pasung/nihil (setelah dikonfirmasi juga dengan data dari Dinas Sosial), maka capaian dianggap telah memenuhi target.</t>
  </si>
  <si>
    <t>Jumlah pasien pasung yang dibebaskan dalam kurun waktu satu tahun,
dibagi
Jumlah pasien pasung yang ada di wilayah kerja puskesmas,
dikali 100%
Jika pada wilayah kerja tidak ditemukan kasus pasung/nihil (setelah dikonfirmasi juga dengan data dari Dinas Sosial), maka capaian dianggap telah memenuhi target.</t>
  </si>
  <si>
    <t>TK/PAUD</t>
  </si>
  <si>
    <t>Posyandu</t>
  </si>
  <si>
    <t>Kelompok Asuhan Mandiri yang mendukung Program Prioritas</t>
  </si>
  <si>
    <t>1 kelompok</t>
  </si>
  <si>
    <t>kelompok asman</t>
  </si>
  <si>
    <t>2.2.2 Penanganan Masalah Penyalahgunaan Napza</t>
  </si>
  <si>
    <t xml:space="preserve">2.2.3. Pelayanan Kesehatan Matra </t>
  </si>
  <si>
    <t>2.2.4.Pelayanan Kesehatan Tradisional</t>
  </si>
  <si>
    <t>2.2.5.Pelayanan Kesehatan Olahraga</t>
  </si>
  <si>
    <t>2.2.6. Pelayanan Kesehatan Kerja</t>
  </si>
  <si>
    <t xml:space="preserve">2.2.7 Pelayanan Kefarmasian </t>
  </si>
  <si>
    <t>Jumlah Penyehat Tradisional yang memiliki STPT dibagi jumlah Penyehat Tradisional yang ada di wilayah kerja Puskesmas dikali 100%</t>
  </si>
  <si>
    <t>Jumlah Panti Sehat berkelompok yang berijin dibagi jumlah Panti Sehat berkelompok yang  ada di wilayah kerja Puskesmas dikali 100%</t>
  </si>
  <si>
    <t>Jumlah Penyehat Tradisional yang mendapat pembinaan oleh petugas kesehatan di bagi jumlah Penyehat Tradisional yang ada di wilayah kerja Puskesmas dikali 100%</t>
  </si>
  <si>
    <t>Jumlah Desa/Kelurahan  yang memiliki kelompok Asuhan Mandiri yang ber SK  dibagi dengan jumlah desa/kelurahan  yang ada di wilayah kerja Puskesmas dikali 100%</t>
  </si>
  <si>
    <t>Jumlah Kelompok Asman yang berpartisipasi dalam kegiatan Posbindu PTM berupa edukasi (KIE) tentang ramuan tradisional dan akupresur terkait PTM sesuai dengan Buku Kader Posbindu PTM di wilayah Puskesmas</t>
  </si>
  <si>
    <t>Jumlah PAUD dan TK yang mendapat penyuluhan/ pemeriksaan kesehatan gigi dan mulut dibagi jumlah PAUD/TK di wilayah kerja Puskesmas dikali 100%</t>
  </si>
  <si>
    <t>Jumlah posyandu yang dikunjungi petugas Puskesmas terkait kesehatan gigi dan mulut ke Posyandu dibagi jumlah Posyandu di wilayah kerja Puskesmas dikali 100%</t>
  </si>
  <si>
    <t xml:space="preserve">Jumlah sekolah (setingkat SD, SLTP &amp; SLTA) di wilayah kerja yang mendapatkan penyuluhan dalam kurun waktu satu tahun,dibagi Jumlah total sekolah (setingkat SD, SLTP &amp; SLTA) di wilayah kerja,dikali 100%
</t>
  </si>
  <si>
    <t>Jumlah hasil pemeriksaan jemaah haji yang dientry dalam siskohat  pada 3 (tiga) bulan sebelum operasional dibagi dengan jumlah kuota jemaah haji pada tahun berjalan dikali 100 %</t>
  </si>
  <si>
    <t>Jumlah kelompok/klub olahraga yang dibina dibagi jumlah kelompok/ klub olahraga yang ada dikali 100%</t>
  </si>
  <si>
    <t>Jumlah CJH yang dilakukan Pengukuran Kebugaran Jasmani oleh Puskesmas pada tahun berjalan dibagi  Jumlah CJH yang terdaftar di Puskesmas pada tahun berjalan dikali 100 %</t>
  </si>
  <si>
    <t xml:space="preserve"> Jumlah bulan yang mencapai minimal 75 % dari 4  Indikator layanan kesehatan olahraga internal</t>
  </si>
  <si>
    <t>Jumlah Sekolah Dasar/MI yang diukur kebugaran jasmani dibagi jumlah SD/MI  yang ada di wilayah kerja x 100 %</t>
  </si>
  <si>
    <t>Jumlah bulan yang mencapai minimal 80% dari  11 indikator K3 Fasyankes yang ada pada Permenkes Nomor 52 Tahun 2018 dalam satu bulan dibagi 12 bulan dikali 100%</t>
  </si>
  <si>
    <t>Jumlah kantor yang dibina (assement dengan minimal hasil cukup) K3 Perkantoran dibagi jumlah total perkantoran (kelurahan dan kecamatan) yang ada di wilayah kerja dikali 100%</t>
  </si>
  <si>
    <t>Jumlah kelompok kerja informal (Pos UKK) yang dilakukan kegiatan promotif dan/ atau preventif yang dilakukan dalam satu bulan dibagi jumlah seluruh Pos UKK (kali 12) di wilayah binaan dikali 100%</t>
  </si>
  <si>
    <t xml:space="preserve">% Kader  aktif pada kegiatan Edukasi dan Pemberdayaan masyarakat tentang obat pada Gerakan masyrakat cerdas menggunakan obat  = Jumlah kader kesehatan  aktif yang telah tersosialisasikan gema cermat dibagi  jumlah kader yang mengikuti sosialisasi x 100% .
Contoh : 
Kader kesehatan dipuskesmas yang disosialisasi sebanyak  100 orang
Kader kesehatan yang setelah sosialisasi aktif sebagai fasilitator gema cermat di wilayahnya sebanyak 20 orang.
Cara Perhitungan :   20/100 x 100% = 20% Tugas kader sebagai  fasilitor adalah memfasilitasi kegiatan gema cermat ke masyarakat diwilayahnya.
Contoh Tugas sebagai fasilitator : Membuat  jadwal pertemuan, Memfasilitasi pertemuan , Mengedarkan daftar hadir, Mencatat pertanyaan masyarakat selama kegiatan sosialisasi, Mendokumentasikan kegiatan ,Membuat laporan kegiatan gema cermat di wilayah masing-masing.
</t>
  </si>
  <si>
    <t>% Jumlah wilayah yang dilakukan Kegiatan   Gerakan Masyarakat Cerdas Menggunakan Obat = Jumlah desa atau kelurahan yang telah tersosialisasikan gema cermat dibagi jumlah desa kelurahan di wilayah kerja x 100% 
Contoh : Puskesmas mempunyai 10 wilayah kerja (desa/kelurahan)
Yang tersosialisi : 5 desa/kelurahan
Cara perhitungan : 5/10 x100% = 50%
Catatan : Perhitungan capaian  kumulatif.</t>
  </si>
  <si>
    <t>Jumlah masyarakat yang telah tersosialisasikan gema cermat = Jumlah masyarakat yang telah tersosialisasikan gema cermat dibagi  jumlah masyarakat (usia&gt;15 tahun) yang ditargetkan di wilayah kerja dikali 100% dengan materi awal Dagusibu 5O serta materi tematik ( TB, HT ,DM, Stunting,  Jiwa)
Contoh :
Jumlah penduduk diwilayah kerja puskesmas&gt;15 tahun : 5.000
Jumlah yang ditargetkan oleh puskesmas per tahun : 1000
Jumlah penduduk yang tersosialisasi tahun 2023 : 500 orang
Cara perhitungan : 500/1000x100% = 50%
Catatan : Perhitungan capaian  kumulatif.</t>
  </si>
  <si>
    <t xml:space="preserve">8. </t>
  </si>
  <si>
    <t>10.</t>
  </si>
  <si>
    <t>Persentase Penyandang  Diabetes  Melitus  Yang  Gula  Darahnya  Terkendali</t>
  </si>
  <si>
    <t>Persentase  Penyandang  Hipertensi  Yang Tekanan  Darahnya  Terkendali</t>
  </si>
  <si>
    <t xml:space="preserve">Perbandingan jumlah peserta terdaftar yang melakukan kontak dengan FKTP dengan total Jumlah Peserta terdaftar di Puskesmas  dikali 1000 (seribu) 
Catatan Kinerja Puskesmas :
≥150 ‰               = 100%
&gt; 145 - &lt;150 ‰  = 75%   
&gt; 140 - 145 ‰    = 50%
&gt; 135 - 140 ‰    = 25%
≤ 135                   = 0%
                             </t>
  </si>
  <si>
    <t>Perbandingan antara jumlah rujukan kasus non spesialistik dengan jumlah seluruh rujukan oleh Puskesmas dikali 100%                   
Catatan kinerja Puskesmas:                       
≤ 2%           = 100%                                  
&gt; 2 - 2,5%    = 75%                                   
&gt; 2,5 - 3%    = 50%                               
&gt; 3 - 3,5%    = 25%                        
&gt;3,5%           = 0%</t>
  </si>
  <si>
    <t xml:space="preserve">Jumlah penderita hipertensi usia ≥ 15 tahun  di wilayah kerjanya yang mendapatkan pelayanan kesehatan sesuai standar dibagi jumlah estimasi penderita hipertensi usia       ≥ 15 tahun  yang berada didalam wilayah kerjanya  berdasarkan angka prevalensi Kab/Kota  dalam kurun waktu satu tahun yang sama dikali 100%.                                 </t>
  </si>
  <si>
    <t xml:space="preserve">Jumlah penderita Diabetes Mellitus usia &gt; 15 tahun di dalam wilayah kerjanya yang mendapatkan pelayanan kesehatan sesuai standar  dalam kurun waktu satu tahun dibagi jumlah estimasi penderita Diabetes Mellitus usia ≥15 tahun yang berada di dalam wilayah kerjanya berdasarkan angka prevalensi kab/kota dalam kurun waktu satu tahun yang sama  dikali 100%.                                         </t>
  </si>
  <si>
    <t xml:space="preserve">Jumlah penyandang hipertensi yang tekanan sistol dan diastol turun dari kurang dari 140/90 mmHg dalam kurun waktu 1 tahun minimal 3 kali (3 bulan) dalam 1 tahun dibagi jumlah seluruh penyandang hipertensi dalam kurun waktu satu tahun yang sama dikalikan 100 %
</t>
  </si>
  <si>
    <t xml:space="preserve">Jumlah penyandang diabetes melitus yang gula darah puasa &lt; 126 mg/dl atau gula darah 2 jam pp nya &lt; 200 mg/dl sebanyak minimal 3 kali (3 bulan) atau HbA1c &lt;7% minimal 1 kali dalam kurun waktu 1 tahun  dibagi jumlah seluruh penyandang diabetes mellitus   dalam kurun waktu satu tahun yang sama dikalikan 100 %
 </t>
  </si>
  <si>
    <t xml:space="preserve">Jumlah gigi tetap yang di tambal permanen dibandingkan dengan gigi tetap yang dicabut. Catatan kinerja Puskesmas:                    
&gt;1                = 100%                               
0,75 - 1        = 75 %,                              
0,5 - &lt; 0,75  = 50 %                                
0,25 - &lt;0,5   = 25 %                                 
&lt; 0,25           = 0 %              </t>
  </si>
  <si>
    <t>Jumlah ibu hamil (minimal 1x selama kehamilan) yang mendapat  pelayanan kesehatan gigi di Puskesmas dibagi jumlah ibu hamil yang berkunjung ke Puskesmas dikali 100%</t>
  </si>
  <si>
    <t>Jumlah rekam medik rawat jalan yang diisi lengkap dibagi jumlah rekam medik rawat jalan  dikali 100%</t>
  </si>
  <si>
    <t>Jumlah informed consent gawat darurat  yang diisi lengkap dibagi jumlah informed consent di pelayanan gawat darurat dikali 100%</t>
  </si>
  <si>
    <t xml:space="preserve">Ketersediaan obat 40 obat indikator </t>
  </si>
  <si>
    <t xml:space="preserve">Ketersediaan 5 item vaksin indikator </t>
  </si>
  <si>
    <t>vaksin</t>
  </si>
  <si>
    <t>3 .</t>
  </si>
  <si>
    <t>Jumlah  item obat di Puskemas yang sesuai dengan Fornas FKTP dibagi jumlah item obat yang tersedia di Puskemas  dikali 100 %.      Contoh: Jumlah obat Puskesmas yang sesuai dengan fornas 297 item, yang tersedia 513 item, maka % kesesuaian =297/513x 100 %= 57,89%</t>
  </si>
  <si>
    <t>Bila obat tersedia untuk pelayanan di Puskesmas maka diberi angka 1, bila obat tidak tersedia untuk pelayanan di Puskesmas maka diberi angka 0. Perhitungan diperoleh dengan cara = Jumlah kumulatif item obat  indikator yang tersedia di Puskesmas dibagi 40 dikali 100 %</t>
  </si>
  <si>
    <t>Bila obat tersedia untuk pelayanan di Puskesmas maka diberi angka 1, bila obat tidak tersedia untuk pelayanan di Puskesmas maka diberi angka 0 Perhitungan diperoleh dengan cara = Jumlah kumulatif item obat  indikator yang tersedia di Puskesmas dibagi 5 dikali 100 %</t>
  </si>
  <si>
    <t>Jumlah Penggunaan  Antibiotika pada ISPA non Pneumonia dibagi Jumlah kasus ISPA non Pneumonia  dikali 100 %
Catatan kinerja Puskesmas :
≤ 20%      = 100%
21-40 %   =75%
41-60 %   = 50%
61-80 %   = 25%
&gt; 80 %     = 0%</t>
  </si>
  <si>
    <t xml:space="preserve"> Jumlah penggunaan Antibiotika pada diare non spesifik dibagi jumlah kasus diare non spesifik  dikali 100 %
Catatan kinerja Puskesmas :
≤ 8 %           = 100%
9 - 20 %      =  75%
21 - 40 %    = 50%
41 - 60 %    = 25%
&gt; 60%         = 0%</t>
  </si>
  <si>
    <t>Jumlah penggunaan injeksi pada myalgia dibagi jumlah kasus myalgia dikali 100%
Catatan kinerja Puskesmas: 
≤ 1 % = 100%
2 - 10 % =75%
11 - 20 % = 50%
21 - 30 % = 25%
&gt; 30 %  = 0%</t>
  </si>
  <si>
    <t>Jumlah item obat per lembar resep dibagi jumlah resep
Catatan kinerja Puskesmas: 
≤ 2,6     = 100%
2,7 - 4   =75%
5 - 7      = 50%
8 - 9      = 25%
&gt; 9        = 0%</t>
  </si>
  <si>
    <t>Jumlah kegiatan pengkajian resep ,pelayanan resep dan pemberian informasi obat yang terdokumentasi dibagi jumlah resep yang masuk setiap bulan dikali 100%.</t>
  </si>
  <si>
    <t>Jumlah Konseling yang dilakukan pada pasien kronis ( penderita DM, Hipertensi, TB, HIV/AIDS, ODGJ) yang terdokumentasi dibagi jumlah pasien kronis( penderita DM, Hipertensi, TB, HIV/AIDS, ODGJ) yang menerima resep setiap bulan  dikali 100%</t>
  </si>
  <si>
    <t>Jumlah pelayanan informasi obat yang terdokumentasi di bagi jumlah kegiatan pelayann informasi obat ( pertanyaan nakes, masyarakat, leaflet, brosur,penyuluhan)  setiap bulan dikali 100%</t>
  </si>
  <si>
    <t>Jumlah jenis pelayanan yang  tersedia  dibagi Jumlah standar jenis pelayanan (50) dikali 100%</t>
  </si>
  <si>
    <t>Jumlah pasien dengan waktu tunggu penyerahan hasil pelayanan laboratorium sesuai jenis pemeriksaan  dan kebijakan dibagi jumlah seluruh pemeriksaan dikali 100%</t>
  </si>
  <si>
    <t>Jumlah pemeriksaan mutu internal yang memenuhi standar minimal 1 (satu) parameter dari hematologi, Kimia Klinik, serologi, dan bakteriologi dibagi jumlah pemeriksaan dalam 1  (satu) bulan dikali 100%</t>
  </si>
  <si>
    <t>Jumlah hari perawatan rawat inap umum dalam  1 bulan dibagi hasil kali jumlah tempat tidur dengan jumlah hari dalam 1 bulan dikali 100 %                         
Catatan kinerja Puskesmas :                   
10% - 60%         = 100%                           
&gt;60 - 70%           = 75%                             
&gt;70 - 80%           = 50%                           
&gt;80 - 90%           = 25%                            
&lt;10% atau &gt;90% = 0%</t>
  </si>
  <si>
    <t>Jumlah rekam medis yang lengkap dibagi jumlah rekam medis per bulan di pelayanan rawat inap dikali 100%</t>
  </si>
  <si>
    <t>INDIKATOR NASIONAL MUTU PUSKESMAS</t>
  </si>
  <si>
    <t xml:space="preserve">2.5.2 </t>
  </si>
  <si>
    <t>SASARAN KESELAMATAN PASIEN</t>
  </si>
  <si>
    <t xml:space="preserve">Kepatuhan melakukan komunikasi efektif </t>
  </si>
  <si>
    <t xml:space="preserve">Pengelolaan Obat obat yang perlu diwaspadai </t>
  </si>
  <si>
    <t>Memastikan lokasi pembedahan yang benar, prosedur yang benar, pembedahan pada pasien yang benar pada tindakan/bedah minor</t>
  </si>
  <si>
    <t>Mengurangi risiko cedera pada pasien akibat terjatuh</t>
  </si>
  <si>
    <t xml:space="preserve">2.5.3 </t>
  </si>
  <si>
    <t>Pelaporan insiden</t>
  </si>
  <si>
    <t>PELAPORAN INSIDEN</t>
  </si>
  <si>
    <t>Laporan</t>
  </si>
  <si>
    <t>2.2.3</t>
  </si>
  <si>
    <t>Indikator Nasional Mutu Puskesmas</t>
  </si>
  <si>
    <t>Sasaran Keselamatan Pasien</t>
  </si>
  <si>
    <t>Pelaporan Insiden</t>
  </si>
  <si>
    <t>Rumah Tangga (RT) yang dikaji/dilaksanakan survey PHBS tatanan RT di wilayah kerja Puskesmas pada kurun waktu satu tahun. Pelaksanaan pengkajian pada masa pandemi  dengan memperhatikan protokol kesehatan</t>
  </si>
  <si>
    <t>Institusi Pendidikan (SD/ MI , SLTP / MTs, SLTA/ MA dan atau sederajat ) yang dikaji/dilaksanakan survey PHBS tatanan Instistusi Pendidikan di wilayah kerja Puskesmas pada kurun waktu satu tahun</t>
  </si>
  <si>
    <t>Pondok Pesantren yang dikaji/dilaksanakan survey PHBS tatanan Pondok Pesantren  di wilayah kerja Puskesmas pada kurun waktu satu tahun. Pelaksanaan pengkajian pada masa pandemi dengan memperhatikan protokol kesehatan</t>
  </si>
  <si>
    <t>TPP</t>
  </si>
  <si>
    <t>Desa/kelurahan</t>
  </si>
  <si>
    <t>Persentase bayi usia 0-11 bulan yang mendapat Imunisasi Dasar Lengkap (IDL)</t>
  </si>
  <si>
    <t xml:space="preserve">Persentase bayi usia 0-11 bulan yang mendapat antigen baru </t>
  </si>
  <si>
    <t xml:space="preserve">Rumah Tangga (minimal yang dikaji adalah  20% dari Total Rumah Tangga) yang memenuhi 10 indikator PHBS rumah tangga (persalinan ditolong oleh nakes, bayi diberi ASI eksklusif, menimbang bayi/balita, menggunakan air bersih, mencuci tangan pakai air bersih dan sabun, menggunakan jamban sehat, memberantas jentik dirumah, makan buah dan sayur tiap hari, aktivitas fisik tiap hari, tidak merokok)   di wilayah kerja Puskesmas pada kurun waktu satu tahun. </t>
  </si>
  <si>
    <t xml:space="preserve">Pondok Pesantren (minimal yang dikaji adalah 70 % dari Ponpes yang ada) yang memenuhi 13 - 15 indikator PHBS Pondok Pesantren (kebersihan perorangan, penggunaan air minum dan  air bersih, kebersihan tempat wudhu, menggunakan kamar mandi dan jamban sehat, kebersihan asrama,  kebersihan ruang belajar, kebersihan halaman, tempat penampungan air dan barang bekas bebas jentik, mengkonsumsi makanan bergizi seimbang, pemanfaatan Poskestren dan sarana yankes, tidak merokok, mengetahui informasi kesehatan prioritas, menjadi peserta dana sehat, membuang sampah di tempat sampah, kebersihan dapur) di wilayah kerja Puskesmas pada kurun waktu satu tahun. </t>
  </si>
  <si>
    <t xml:space="preserve">Kelompok RT di Posyandu Balita yang telah diintervensi minimal  4 kali per Posyandu terkait 10 indikator PHBS  bisa  dengan penyuluhan kelompok langsung atau memberikan informasi kesehatan melalui WA grub  dan atau bentuk intervensi lain (dengan metode apapun) oleh petugas Puskemas di wilayah kerja Puskesmas pada kurun waktu satu tahun </t>
  </si>
  <si>
    <t>Institusi Pendidikan (SD / MI ; SLTP / MTs, SLTA/MA ) yang telah diintervensi minimal 2 kali per institusi pendidikan baik dengan penyuluhan dan atau bentuk intervensi lainnya (dengan metode apapun) oleh petugas Puskesmas di wilayah kerja Puskesmas pada kurun waktu satu tahun</t>
  </si>
  <si>
    <t>Pondok Pesantren yang telah diintervensi minimal 2 kali tiap ponpes baik dengan penyuluhan kelompok langsung atau memberikan informasi kesehatan melalui WA grub dan atau bentuk intervensi lainnya ( dengan metode apapun ) oleh petugas Puskesmas di wilayah kerja Puskesmas pada kurun waktu satu tahun</t>
  </si>
  <si>
    <t>Posyandu Balita yang berstrata  Purnama dan Mandiri di wilayah kerja Puskesmas dalam waktu 1 tahun</t>
  </si>
  <si>
    <t>Poskesdes/Poskeskel yang berstrata Madya, Purnama dan  Mandiri  di wilayah kerja Puskesmas pada kurun waktu satu tahun</t>
  </si>
  <si>
    <t>Desa/Kelurahan  Siaga Aktif dengan Strata Pratama, Madya, Purnama dan Mandiri di wilayah kerja Puskesmas pada kurun waktu satu tahun</t>
  </si>
  <si>
    <t>Desa/Kelurahan Siaga Aktif dengan Strata Purnama dan Mandiri di wilayah kerja Puskesmas dalam kurun waktu satu tahun</t>
  </si>
  <si>
    <t xml:space="preserve">Pembinaan Desa/Kelurahan  Siaga oleh petugas Puskesmas minimal 2 (dua) kali dalam satu tahun di wilayah kerja Puskesmas </t>
  </si>
  <si>
    <t xml:space="preserve">Puskesmas dan jaringannya (Puskesmas, Pustu, Ponkesdes) memberikan promosi kesehatan program prioritas (Penurunan AKI &amp; AKB, Stunting, Covid, HIV/AIDS, TB, Kusta,  Napza, Diabetes Melitus, Hipertensi, Gangguan Jiwa , Imunisasi, Germas dan Posyandu ) kepada masyarakat yang datang ke Puskesmas dan jaringannya minimal 12 (dua belas) kali dalam satu tahun </t>
  </si>
  <si>
    <t xml:space="preserve">Pengukuran dan pembinaan tingkat perkembangan UKBM adalah penentuan strata UKBM yang terdiri dari strata Pratama, Madya, Purnama &amp; Mandiri serta pembinaan tingkat perkembangannya agar meningkat stratanya. UKBM yang diukur dan dibina tingkat perkembangannya adalah  Posyandu Balita, Posyandu Lansia,  Poskesdes, Pos Kesehatan Pesantren, Saka Bhakti Husada,  yang ada di wilayah kerja Puskesmas, oleh petugas Puskesmas selama 1 (satu) tahun. Skor strata berdasarkan Buku Pedoman Pengukuran Tingkat Perkembangan UKBM yaitu Posyandu Balita ( Pratama : &lt;60; Madya : 64-74; Purnama :75-94; Mandiri : 95 -100 ); Poskesdes dan Poskestren (Pratama : &lt;50; Madya : 50 - 69;Purnama:70-89;Mandiri : 90 - 100); SBH ( Pratama : &lt; 30; Madya : 30 - 49: Purnama: 50 - 69; Mandiri : 70 -100). </t>
  </si>
  <si>
    <t xml:space="preserve">Monitoring/ Inspeksi Kesehatan Lingkungan /IKL terhadap Sarana Air Minum (SAM),yaitu yang meliputi :
- jaringan perpipaan, (PDAM, Hippam / BPSPAM), 
- Bukan Jaringan Perpipaan Komunal (sumur pompa tangan, 
  sumur bor dengan pompa, sumur gali terlindung, sumur
  gali dengan pompa),
- Perlindungan Mata Air (PMA), 
- Penampungan Air Hujan (PAH) 
yang disebut sebagai sistim penyediaan air bersih/Minum (SPAM)  di wilayah kerja Puskesmas selama kurun waktu tertentu. </t>
  </si>
  <si>
    <t xml:space="preserve">Sarana Air Minum (SAM) dimana hasil Inspeksi Kesehatan Lingkungan (IKL) secara teknis dalam kategori resiko rendah dan sedang, sehingga aman untuk dipakai kebutuhan sehari-hari (termasuk untuk kebutuhan makan dan minum) di wilayah kerja Puskesmas pada kurun waktu tertentu </t>
  </si>
  <si>
    <t xml:space="preserve">Sarana Air Minum (SAM) yang beresiko rendah dan sedang di uji kualitas airnya (laboratorium/sanitarian kit) di wilayah kerja Puskesmas selama kurun waktu tertentu  </t>
  </si>
  <si>
    <t>Sarana Air Minum (SAM) yang sudah diuji kualitas secara fisik, kimia, dan mikrobiologi (laboratorium/sanitarian kit) memenuhi syarat kesehatan</t>
  </si>
  <si>
    <t xml:space="preserve">Monitoring/ Inspeksi Kesehatan Lingkungan  (IKL) Tempat Pengelolaan Makanan (TPP) dengan sasaran: 
1. Jasa Boga / Katering (Gol A, B, dan C)
2. Restoran 
3. DAM (Depot Air Minum)
4. TPP Tertentu (Makanan yang tahan hingga 7 hari)
5. Rumah Makan (Gol A1 dan A2)
6. Penyediaan Makanan Keliling Tempat Tidak Tetap (Gerai Pangan Jajanan Keliling Gol A1, A2, dan B)    
7. Restoran dan Penyediaan Makanan Keliling Lainnya (Sentra Pangan Jajanan/Kantin, Gerai Pangan Jajanan, dan Dapur Gerai Pangan Jajanan) pada kurun waktu tertentu </t>
  </si>
  <si>
    <t>TPP yang dari segi fisik (sanitasi), penjamah, kualitas makanan memenuhi syarat tidak berpotensi menimbulkan kontaminasi atau dampak negatif kesehatan, dengan bukti hasil Inspeksi Kesehatan Lingkungan (IKL) yang memenuhi syarat kesehatan selama di wilayah kerja Puskesmas pada kurun waktu tertentu</t>
  </si>
  <si>
    <t xml:space="preserve">Inspeksi kesehatan lingkungan dan pembinaan yang meliputi  rekomendasi teknis dll terhadap penanggung jawab dan petugas pada TFU Prioritas (Puskesmas, SD/MI, SMP/MTs) di wilayah kerja Puskesmas pada kurun waktu tertentu.               </t>
  </si>
  <si>
    <t>TFU prioritas yang memenuhi syarat kesehatan, dimana secara teknis cukup aman untuk dipergunakan dan tidak memiliki resiko negatif terhadap pengguna, petugas dan lingkungan sekitar dengan dibuktikan hasil Inspeksi Kesehatan Lingkungan (IKL) yang memenuhi syarat pada kurun waktu tertentu</t>
  </si>
  <si>
    <t xml:space="preserve">Pelayanan berupa Konseling Sanitasi yang diberikan kepada pasien/penderita Penyakit yang Berbasis Lingkungan (PBL), yaitu  ISPA, TBC, DBD, Malaria, Chikungunya, Flu burung, Filariasis, Diare, Kecacingan, Kulit,  keracunan makanan dan peptisida di wilayah kerja Puskesmas pada kurun waktu tertentu .       </t>
  </si>
  <si>
    <t xml:space="preserve">Inspeksi Kesehatan Lingkungan terhadap sarana pasien PBL yang telah dikonseling </t>
  </si>
  <si>
    <t xml:space="preserve">Pasien PBL menindaklanjuti hasil inspeksi </t>
  </si>
  <si>
    <t>Desa/Kelurahan yang masyarakatnya sudah tidak ada yang berperilaku buang air besar di sembarangan tempat tetapi sudah buang air besar di tempat yang terpusat/jamban sehat pada kurun waktu tertentu.</t>
  </si>
  <si>
    <t>Desa/Kelurahan yang :
1. Minimal ada intervensi pemicuan 5 Pilar STBM;             
2. Ada Natural Leader terlatih 5 Pilar STBM;             
3. Ada rencana aksi kegiatan menuju 5 Pilar STBM.</t>
  </si>
  <si>
    <t>Desa/Kelurahan yang masyarakatnya :   
1. Pilar pertama/ Stop BABS 100%;          
2. Keempat pilar lainnya (cuci tangan pakai sabun, Mengelola air minum dan makanan yang  aman, Mengelola sampah dengan benar, Mengelola limbah cair rumah tangga dengan aman) telah mencapai 50% dari total KK.               
dan dibuktikan dengan Berita Acara Verifikasi</t>
  </si>
  <si>
    <t>Ibu hamil yang pertama kali mendapat pelayanan antenatal sesuai standar (10T) oleh tenaga kesehatan pada masa kehamilan trimester pertama di satu wilayah kerja pada kurun waktu tertentu.</t>
  </si>
  <si>
    <t xml:space="preserve">Adalah Ibu bersalin yang mendapatkan pelayanan persalinan sesuai standar di fasilitas pelayanan kesehatan </t>
  </si>
  <si>
    <t>Adalah pelayanan kesehatan sesuai standar pada ibu mulai 6 jam sampai 42 hari pasca bersalin oleh tenaga kesehatan, dengan distribusi waktu; 1 kali pada 6 - 48 jam, 1 kali pada 3 - 7 hari, 1 kali pada 8 - 28 hari dan 1 kali pada 29 - 42 hari</t>
  </si>
  <si>
    <t>Adalah penanganan komplikasi kebidanan, penyakit menular maupun tidak menular serta masalah gizi yang terjadi pada waktu hamil, bersalin dan nifas oleh tenaga kesehatan yang mempunyai kompetensiabortus, antara lain: perdarahan, Pre eklamsi/ eklamsi, persalinan macet, infeksi, abortus, malaria, HIV/AIDS, Sifilis, Hepatitis, TB, hipertensi, diabetes melitus, anemia gizi besi dan Kurang Energi Kronis (KEK)</t>
  </si>
  <si>
    <t xml:space="preserve">Adalah Ibu hamil  diperiksa Human Imuno Deficiency Virus (HIV)  </t>
  </si>
  <si>
    <t>Neonatus yang mendapatkan pelayanan sesuai standar  pada 6 (enam) sd 48 (empat puluh delapan) jam setelah lahir. Pelayanan yang diberikan  meliputi: Inisiasi Menyusu Dini (IMD), salep mata, perawatan tali pusat, injeksi vitamin  K1, imunisasi Hepatitis B (HB0) dan pemeriksaan menggunakan Form Manajemen Terpadu Bayi Muda (MTBM)</t>
  </si>
  <si>
    <t xml:space="preserve">Neonatus umur 0-28 hari yang memperoleh pelayanan kesehatan sesuai standar  paling sedikit 3 (tiga) kali dengan distribusi waktu :                                
1 (satu) kali pada 6 – 48 jam setelah lahir;                           
1 (satu) kali pada hari ke 3 – 7;                                
1 (satu) kali pada hari ke 8 – 28                               </t>
  </si>
  <si>
    <t>Neonatus dengan  komplikasi yang mendapat penanganan sesuai standar oleh tenaga kesehatan kompeten pada tingkat pelayanan dasar dan rujukan tertentu.Neonatal dengan komplikasi adalah neonatus dengan penyakit dan kelainan yang dapat menyebabkan kesakitan, kecacatan dan/kematian, dan neonatus dengan komplikasi meliputi trauma lahir, asfiksia, ikterus, hipotermi,Tetanus Neonatorum, sepsis, Bayi Berat Badan Lahir (BBLR) kurang dari 2500 gr, kelainan kongenital, sindrom gangguan pernafasan maupun termasuk klasifikasi kuning dan merah pada MTBM .</t>
  </si>
  <si>
    <t>Bayi yang mendapatkan pelayanan paripurna sesuai standar minimal 4 (empat) kali yaitu 1 (satu) kali pada umur 29 hari – 2  bulan; 1 (satu) kali pada umur 3-5 bulan, 1 (satu) kali pada umur 6-8 bulan dan 1( satu) kali pada umur 9-11 bulan sesuai standar dan telah lulus KN lengkap pada kurun waktu tertentu. Pelayanan kesehatan tersebut meliputi  , pemberian Vitamin A 1 (satu) kali, imunisasi dasar lengkap, SDIDTK 4 kali bila sakit di MTBS.</t>
  </si>
  <si>
    <t>Anak pra sekolah umur  60-72 bulan  yang memperoleh pelayanan sesuai standar meliputi pemantauan pertumbuhan minimal 8 (delapan) kali dalam 1 (satu) tahun; pemantauan perkembangan minimal 2 (dua) kali dalam 1 (satu) tahun pada kurun waktu tertentu.</t>
  </si>
  <si>
    <t>Sekolah setingkat SD/MI/SDLB yang  mendapatkan pemeriksaan  penjaringan kesehatan  di wilayah kerja Puskesmas dalam kurun waktu satu tahun ajaran pendidikan (contoh: data PKP 2020 menggunakan data Juli 2019 sd Juni 2020)</t>
  </si>
  <si>
    <t>Sekolah setingkat SMP/MTs/SMPLB yang  mendapatkan pemeriksaan  penjaringan kesehatan  di wilayah kerja tertentu dalam kurun waktu satu tahun ajaran pendidikan</t>
  </si>
  <si>
    <t xml:space="preserve">Sekolah setingkat SMA/MA/SMK/SMALB yang  mendapatkan pemeriksaan  penjaringan kesehatan  di wilayah kerja tertentu dalam kurun waktu satu tahun ajaran pendidikan </t>
  </si>
  <si>
    <t>Murid kelas 1 sampai dengan kelas 9 (SD/MI dan SMP/MTs) dan usia 7 -15 tahun diluar sekolah (pondok pesantren, panti/LKSA, lapas/LPKA dan lainnya) yang mendapatkan pelayanan kesehatan sesuai standar  di wilayah kerja tertentu dalam kurun waktu satu tahun ajaran pendidikan.  Pelayanan kesehatan sesuai standar meliputi : skrining kesehatan (penilaian status gizi, penilaian tanda vital, penilaiankesehatan gigi dan mulut dan penilaian ketajaman indera) dan tindak lanjut hasil skrining kesehatan                  
(Standar Pelayanan Minimal ke 5)</t>
  </si>
  <si>
    <t>Remaja  usia 10 – 18 tahun yang mendapatkan pelayanan kesehatan remaja  berupa skrining kesehatan sesuai standar, Komunikasi, Informasi dan Edukasi (KIE) , konseling dan pelayanan medis  di wilayah kerja tertentu dalam kurun waktu satu tahun .
Skrining kesehatan sesuai standar meliputi : 
a. pengukuran tinggi badan, berat badan dan lingkar perut, 
b. pengukuran tekanan darah, 
c. anamnesis perilaku berisiko.</t>
  </si>
  <si>
    <t>Setiap warga negara  usia  60 tahun atau lebih  yang mendapatkan skrining  kesehatan  sesuai standar  minimal 1 kali  pada kurun waktu satu tahun.                               
Skrining meliputi :                                                      
1. Pengukuran tinggi badan, berat badan dan lingkar perut 
2. Pengukuran tekanan darah                                         
3. Pemeriksaan gula darah dan kolesterol.                        
4. Pemeriksaan gangguan mental
5. Pemeriksaan gangguan kognitif
6. Pemeriksaan tingkat kemandirian usia lanjut
7.Anamnesa perilaku berisiko. Tindaklanjut hasil skrining kesehatan meliputi:
a) Melakukan rujukan jika diperlukan
b) Memberikan penyuluhan kesehatan</t>
  </si>
  <si>
    <t>Setiap warga negara usia 45 tahun sampai 59 tahun yang mendapatkan pelayanan kesehatan sesuai standar di wilayah kerja dalam kurun waktu satu tahun.
Pelayanan kesehatan sesuai standar meliputi :
1. Edukasi kesehatan
2. Skrining faktor resiko yang dilakukan minimal 1 kali dalam setahun.</t>
  </si>
  <si>
    <t>Peserta KB baru dan lama yang masih aktif memakai alokon terus-menerus hingga saat ini untuk menjarangkan kehamilan atau yang mengakhiri kesuburan.</t>
  </si>
  <si>
    <t>Pasangan Usia Subur (PUS) yang baru pertama kali menggunakan metode kontrasepsi termasuk mereka yang pasca keguguran, sesudah melahirkan, atau pasca istirahat minimal 3 (tiga) bulan pada kurun waktu tertentu .</t>
  </si>
  <si>
    <t xml:space="preserve">Peserta yang tidak melanjutkan penggunaan kontrasepsi (drop out) dalam 1 (satu) tahun kalender diwilayah kerja Puskesmas pada kurun waktu tertentu .Kasus drop out tidak termasuk mereka yang ganti cara. </t>
  </si>
  <si>
    <t>Peserta KB baru atau lama yang mengalami gangguan kesehatan dan mengarah pada keadaan patologis sebagai akibat dari proses tindakan/ pemberian/ pemasangan alat kontrasepsi yang digunakan seperti  perdarahan, infeksi/ abses, flour albus patologis, perforasi, translokasi, hematoma, tekanan darah meningkat, perubahan Hemoglobin, edikalipusi. Komplikasi yang terjadi dalam periode 1 (satu) tahun kalender dihitung 1 (satu) kali serta dihitung per metode (IUD, implant, suntik, pil, MOP dan MOW) di wilayah kerja Puskesmas pada kurun waktu tertentu</t>
  </si>
  <si>
    <t xml:space="preserve"> Ibu yang mulai menggunakan alat kontrasepsi langsung sesudah melahirkan (sampai dengan 42 hari sesudah melahirkan).</t>
  </si>
  <si>
    <t>calon pengantin perempuan yang telah mendapat pelayanan kesehatan reproduksi calon pengantin di Puskesmas dalam kurun waktu 1 tahun</t>
  </si>
  <si>
    <t xml:space="preserve">Bayi umur 6 - 11 bulan yang mendapat kapsul vitamin A berwarna biru dengan kandungan vitamin A sebesar 100.000 Satuan Internasional (SI) dan anak umur 12 sampai 59 bulan yang mendapat kapsul vitamin A berwarna merah dengan kandungan vitamin A sebesar 200.000 SI . </t>
  </si>
  <si>
    <t xml:space="preserve">Ibu hamil yang mendapatkan Tablet Tambah Darah (TTD) sekurangnya mengandung zat besi setara dengan 60 mg besi elemental dan 0,4 mg asam folat yang disediakan oleh pemerintah minimal 90 tablet selama masa kehamilan . </t>
  </si>
  <si>
    <t>Remaja perempuan berusia 12-18 tahun yang bersekolah di SMP/SMA atau sederajat mendapat Tablet tambah darah (TTD) seminggu sekali yang sekurangnya  mengandung zat besi setara dengan 60 mg besi elemental dan 0,4 mg asam folat .</t>
  </si>
  <si>
    <t>Balita usia 6 bulan sampai dengan 59 bulan dengan kategori status gizi berdasarkan indeks Berat Badan menurut Panjang Badan (BB/PB) atau Berat Badan menurut Tinggi Badan (BB/TB) memiliki Z-score -3 SD sampai kurang dari -2 SD yang mendapat tambahan asupan gizi selain makanan utama.</t>
  </si>
  <si>
    <t>Ibu hamil dengan risiko Kekurangan Energi Kronik (KEK) yang di tandai dengan ukuran Lingkar Lengan Atas (LILA) kurang dari 23,5 cm. Yang mendapat makanan tambahan asupan zat gizi di luar makanan utama.</t>
  </si>
  <si>
    <t xml:space="preserve">Anak usia 0 - 59 bulan yang memiliki tanda klinis gizi buruk dan atau indeks Berat Badan menurut panjang Badan (BB/Pb) atau Berat badan menurut Tinggi badan (BB/TB) dengan nilai Z-score kurang dari -3 SD atau LILA &lt;11,5 cm pada balita usia 6 - 59 bulan yang di hrawat inap maupun rawat jalan di fasilitas pelayanan kesehatan dan masyarakat sesuai dengan tata laksana gizi buruk . </t>
  </si>
  <si>
    <t xml:space="preserve">proses asuhan gizi pada (bayi,balita,remaja,bumil,busui, lansia )   yang mempunyai masalah gizi  seperti :  pemantauan pertumbuhan,status gizi dan PTM serta PMBA </t>
  </si>
  <si>
    <t>Anak yang berusia 0  bulan sampai 59 bulan yang di timbang berat badanya (D/S)</t>
  </si>
  <si>
    <t xml:space="preserve">Anak yang berusia 0 bulan  sampai 59 bulan yang memiliki grafik berat badan mengikuti garis pertumbuhan atau kenaikan berat badan pada bulan ini dibandingkan bulan sebelumnya sesuai standar. </t>
  </si>
  <si>
    <t>Anak umur 0 - 59 bulan dengan kategori status gizi berdasarkan indeks Panjang Badan menurut Umur (PB/U) atau Tinggi Badan menurut Umur (TB/U) memiliki Z-score kurang dari -2SD</t>
  </si>
  <si>
    <t xml:space="preserve">Bayi yang sampai usia 6 bulan yang hanya diberi ASI saja tanpa makanan atau cairan lain kecuali obat, vitamin dan mineral sejak lahir. </t>
  </si>
  <si>
    <t xml:space="preserve">Inisiasi Menyusu Dini (IMD ) adalah Proses menyusu di mulai segera setelah lahir.  IMD dilakukan dengan cara kontak kulit ke kulit antara bayi dengan ibunya segera setelah lahir dan berlangsung minimal 1 (satu)  jam . </t>
  </si>
  <si>
    <t>Penemuan kasus diare balita di sarana kesehatan  di wilayah kerja Puskesmas pada kurun waktu tertentu.</t>
  </si>
  <si>
    <t>Penderita diare balita yang berobat mendapat oralit dan tablet Zinc di sarana kesehatan di wilayah kerja Puskesmas pada kurun waktu tertentu</t>
  </si>
  <si>
    <t>Semua ibu hamil yang diperiksa HBsAg di sarana kesehatan dalam kurun waktu tertentu</t>
  </si>
  <si>
    <t>Semua ibu hamil dengan Hepatitis B Reaktif dirujuk ke Rumah Sakit yang mampu tatalaksana Hepatitis B dalam kurun waktu tertentu</t>
  </si>
  <si>
    <t>Kasus Pneumonia balita yang  ditemukan dan  diberikan tatalaksana sesuai standar  di wilayah kerja Puskesmas pada kurun waktu tertentu.</t>
  </si>
  <si>
    <t>Kasus Pneumonia balita yang  ditemukan dan diberikan pengobatan antibiotik  di wilayah kerja Puskesmas pada kurun waktu tertentu.</t>
  </si>
  <si>
    <t>Pemeriksaan kontak serumah dan tetangga  sejumlah lebih kurang 10 (sepuluh)  rumah disekitar penderita Kusta baru yang diperiksa. Dengan asumsi jumlah kontak yang ada disekitar penderita sejumlah 25 (dua puluh lima) orang di wilayah kerja Puskesmas pada kurun waktu tertentu</t>
  </si>
  <si>
    <t>Release From Treatment (RFT) bila penderita baru tipe PB  1 (satu) tahun sebelumnya dan tipe MB  2 (dua) tahun sebelumnya menyelesaikan pengobatan tepat waktu di wilayah kerja Puskesmas pada kurun waktu tertentu</t>
  </si>
  <si>
    <t xml:space="preserve">Prosentase tenaga kesehatan yang ada  telah tersosialisasi Program P2 Kusta dari seluruh tenaga kesehatan yang ada  </t>
  </si>
  <si>
    <t>Kader Posyandu  yang telah tersosialisasi Program P2 Kusta terutama untuk membantu penemuan suspek kusta di wilayah kerja Puskesmas pada kurun waktu tertentu</t>
  </si>
  <si>
    <t xml:space="preserve">SD/ MI yang telah dilakukan screening Kusta pada kurun waktu tertentu </t>
  </si>
  <si>
    <t xml:space="preserve">Pelayanan orang terduga TBC sesuai standar bagi orang terduga TBC meliputi :                                              
1. Pemeriksaan klinis  terduga TBC dilakukan minimal 1 kali setahun, adalah pemeriksaan gejala  seseorang dengan batuk lebih dari 2 minggu disertai dengan gejala  dan tanda lainnya                                                  
2. Pemeriksaan penunjang , adalah pemeriksaan dahak dan/atau bakteriologis dan/atau radiologis                            
3. Edukasi  perilaku beresiko dan pencegahan penularan      
4. Melakukan rujukan jika diperlukan  
5. Edukasi Etika Batuk            </t>
  </si>
  <si>
    <t>Jumlah  pasien TBC yang sembuh dan pengobatan lengkap dari semua pasien TBC yang diobati, dicatat dan dilaporkan, berdasarkan data kohort 1 tahun sebelumnya</t>
  </si>
  <si>
    <t>Jumlah pasien TBC yang dilakukan investigasi kontak dari semua pasien TBC yang diobati, dicatat dan dilaporkan</t>
  </si>
  <si>
    <t>Sekolah (SMP dan SMA/sederajat) yang sudah disuluh atau dijelaskan tentang penyakit HIV/AIDS di wilayah kerja Puskesmas selama bulan pada kurun waktu tertentu</t>
  </si>
  <si>
    <t xml:space="preserve">Setiap orang yang beresiko terinfeksi HIV (ibu hamil, TB, pasien Infeksi Menular Sexual/IMS), waria, Warga Binaan Pemasyarakatan (WBP), pengguna napza mendapatkan pemeriksaan HIV oleh tenaga kesehatan sesuai kewenangannya di Puskesmas dan jaringannya serta lapas/rutan narkotika                                       </t>
  </si>
  <si>
    <t>Rumah yang bebas jentik di wilayah kerja puskesmas pada kurun waktu tertentu</t>
  </si>
  <si>
    <t>Kasus Demam Berdarah Dengue (DBD) yang ditemukan berdasarkan kriteria World Health Organization (WHO) dan ditangani sesuai standar Tatalaksana Pengobatan DBD di wilayah kerja Puskesmas pada kurun waktu tertentu</t>
  </si>
  <si>
    <t>Penyelidikan epidemologi (PE) meliputi kegiatan pemeriksaan jentik, pencarian kasus DBD yang lain serta menentukan tindakan penanggulangan fokus selanjutnya. yang dilakukan terhadap setiap kasus DBD di wilayah kerja Puskesmas pada kurun waktu tertentu</t>
  </si>
  <si>
    <t>Kasus klinis malaria yang diperiksa Sediaan Darah (SD) nya secara laboratorium di wilayah kerja Puskesmas pada kurun waktu tertentu</t>
  </si>
  <si>
    <t>Penderita malaria berdasarkan hasil pemeriksaan laboratorium, yang dalam sediaan darahnya terdapat Plasmodium baik Plasmodium Falciparum, Vivax atau campuran yang mendapat pengobatan standart ((Artesunat Combination Therapi  (ACT)/DHP  dan primaquin) dengan dosis pengobatan sesuai jenis Plasmodium  di wilayah kerja Puskesmas pada kurun waktu tertentu</t>
  </si>
  <si>
    <t>Kasus malaria yang dilakukan follow up pengobatannya pada hari ke 3, 7, 14 dan 28 sampai hasil pemeriksaan laboratoriumnya negatif di wilayah kerja Puskesmas pada kurun waktu tertentu</t>
  </si>
  <si>
    <t>Kasus gigitan HPR (Hewan Penular Rabies) yang dilakukan cuci luka di wilayah kerja Puskesmas pada kurun waktu tertentu</t>
  </si>
  <si>
    <t>Kasus gigitan HPR terindikasi yang mendapatkan vaksinasi di wilayah kerja Puskesmas pada kurun waktu tertentu</t>
  </si>
  <si>
    <t>Jumlah desa yang tercapai UCI  (Universal Child Immunization)  adalah suatu desa/kelurahan telah tercapai minimal  80 % bayi yang ada di desa tersebut mendapatkan imunisasi dasar lengkap di wilayah kerja Puskesmas selama kurun waktu 1 tahun.</t>
  </si>
  <si>
    <t>Persentase anak usia 12-24 bulan yang sudah mendapat imunisasi lanjutan baduta (bayi usia di bawah 2 tahun) meliputi 1 dosis imunisasi DPT-HB-HiB serta 1 dosis imunisasi Campak Rubela di satu wilayah dalam kurun waktu 1 tahun</t>
  </si>
  <si>
    <t>Persentase anak usia kelas 6 Sekolah Dasar (SD)/MI/sederajat yang sudah mendapat imunisasi lanjutan lengkap meliputi: 1 dosis imunisasi Difteri Tetanus (DT), 1 dosis imunisasi Campak Rubela (MR), 2 dosis imunisasi Td di satu wilayah dalam kurun waktu 1 tahun</t>
  </si>
  <si>
    <t>TT2+ : Ibu hamil yang telah mempunyai status T2 sampai dengan T5. Persentase ibu hamil yang sudah memiliki status imunisasi T2+ di satu wilayah dalam kurun waktu 1 tahun</t>
  </si>
  <si>
    <t xml:space="preserve">Pencatatan suhu, Kondisi Vial Vaccine Monitor (VVM)  (A/B/C/D) serta Kondisi alarm dingin (V) dengan freeze tag/ freeze alert/ fride tag 2 di lemari es penyimpanan vaksin 2 (dua) kali sehari pagi dan siang pada buku grafik suhu di Puskesmas pada kurun waktu 1 tahun </t>
  </si>
  <si>
    <t xml:space="preserve"> Ketersediaan buku catatan stok vaksin sesuai jumlah vaksin dan pelarut serta terisi lengkap sesuai penerimaan dan pengeluarannya ditunjukkan dengan pengisian buku stok vaksin di wilayah kerja Puskesmas pada kurun waktu 1 tahun</t>
  </si>
  <si>
    <t xml:space="preserve">Laporan zero reporting KIPI / KIPI ( Kejadian Ikutan Paska Imunisasi) non serius yang lengkap di wilayah kerja Puskesmas pada kurun waktu 1 tahun </t>
  </si>
  <si>
    <t>Persentase anak usia 0-11 bulan yang mendapat imunisasi dasar lengkap meliputi 1 dosis Hepatitis B pada usia 0-7 hari, 1 dosis BCG, 4 dosis Polio tetes (bOPV), 1 dosis Polio suntik (IPV), 3 dosis DPT-HB-Hib, serta 1 dosis Campak Rubela (MR) di satu wilayah dalam kurun waktu 1 tahun</t>
  </si>
  <si>
    <t>Persentase anak usia 0-11 bulan yang mendapat imunisasi dasar antigen baru, meliputi imunisasi PCV dan imunisasi rotavirus sesuai dosis jenis vaksin yang digunakan dalam kurun waktu 1 tahun</t>
  </si>
  <si>
    <t>Laporan STP (SurveilansTerpadu Penyakit) yang tepat waktu sampai dengan tanggal 5 ( lima) setiap bulan.</t>
  </si>
  <si>
    <t>Laporan STP yang lengkap 12 ( dua belas) bulan di wilayah kerja Puskesmas pada kurun waktu tertentu</t>
  </si>
  <si>
    <t>Laporan MR01 (Campak) yang tepat waktu setiap minggu</t>
  </si>
  <si>
    <t>Laporan MR01 yang lengkap di wilayah kerja Puskesmas pada kurun waktu tertentu</t>
  </si>
  <si>
    <t>Laporan W2 (KLB/Wabah Mingguan)  dari unit pelapor (Puskesmas, Rumah Sakit) yang masuk dengan tepat waktu kedalam sistem (SKDR) pada hari senin atau selasa pada minggu epidemiologi berikutnya. Minggu epidemiologi adalah dimulai dari hari  senin - minggu</t>
  </si>
  <si>
    <t>Laporan W2 yang lengkap (52 minggu)di wilayah kerja Puskesmas pada kurun waktu tertentu</t>
  </si>
  <si>
    <t>Desa/ Kelurahan  yang mengalami Kejadian Luar Biasa (KLB) yang laporan Wabah (W1) nya diselidiki dan ditanggulangi dalam waktu kurang dari 24 (dua puluh empat) jam oleh Puskesmas dan atau Kabupaten/Kota dan atau Provinsi.</t>
  </si>
  <si>
    <t xml:space="preserve">Jumlah kab/kotayang melakukanpemetaan risikopenyakit infeksi emerging minimal 1x dalam setahundibandingkan dengan jumlah kab/kota  pada tahun yang sama, dinyatakan dalam persen </t>
  </si>
  <si>
    <t>Semua sarana atau tempat yang digunakan untuk menyelenggarakan upaya pelayanan kesehatan, yang ada di wilayah Puskesmas melaksanakan Kawasan Tanpa Rokok (KTR) (100% bebas asap rokok), yaitu                        
1. Tidak ditemukan orang merokok di dalam gedung        
2. Tidak ditemukan ruang merokok di dalam gedung         
3. Tidak tercium bau Rokok                  
4. Tidak ditemukan puntung rokok        
5. Tidak ditemukan penjualan rokok     
6. Tidak ditemukan asbak atau korek api 
7. Tidak ditemukan iklan atau promosi rokok 
8. Ada tanda dilarang merokok</t>
  </si>
  <si>
    <t>Semua tempat atau arena yang diperuntukkan untuk kegiatan anak-anak baik yang ada di ruangan terbuka ataupun tertutup, yang ada di wilayah Puskesmas melaksanakan Kawasan Tanpa Rokok (KTR) (100% bebas asap rokok), yaitu                                      
1. Tidak ditemukan orang merokok di dalam gedung        
2. Tidak ditemukan ruang merokok di dalam gedung         
3. Tidak tercium bau rokok                  
4. Tidak ditemukan puntung rokok        
5. Tidak ditemukan penjualan rokok     
6. Tidak ditemukan asbak atau korek api 
7. Tidak ditemukan iklan atau promosi rokok 
8. Ada tanda dilarang merokok</t>
  </si>
  <si>
    <t xml:space="preserve">Jumlah penduduk usia 10-18 tahun yang merokok diwilayah kerja puskesmas </t>
  </si>
  <si>
    <t>Puskesmas yang menyelenggarakan layanan Upaya Berhenti Merokok (UBM) dengan minimal terdapat 1 (satu) klien yang berkunjung setiap bulan</t>
  </si>
  <si>
    <t xml:space="preserve">Skrining yang dilakukan minimal sekali setahun untuk penyakit menular dan penyakit tidak menular meliputi :                         
a. Pengukuran tinggi badan, berat badan dan lingkar perut 
b. Pengukuran tekanan darah                  
c. Pemeriksaan gula darah                         
d. Anamnesa perilaku beresiko          
Keterangan : wanita usia 30-50 tahun yang sudah menikah atau mempunyai riwayat berhubungan seksual berisiko dilakukan pemeriksaan SADANIS dan cek IVA                               
(Standar Pelayanan Minimal Ke 6)            </t>
  </si>
  <si>
    <t>Deteksi Dini penyakit Hipertensi yang dilakukan dengan pemeriksaan tekanan darah minimal sekali setahun</t>
  </si>
  <si>
    <t>Deteksi Dini  Obesitas yang dilakukan dengan pemeriksaan  IMT/Lingkar perut  minimal sekali setahun. Klasifikasi IMT berdasarkan Permenkes Nomor 41 Tahun 2014 Tentang Pedoman Gizi Seimbang</t>
  </si>
  <si>
    <t>Deteksi Dini Penyakit Diabetes Melitus dilakukan dengan pemeriksaan Gula darah Sewaktu (GDA) tes minimal sekali setahun</t>
  </si>
  <si>
    <t>Deteksi Dini Penyakit Stroke  dengan  pemeriksaan  profil lipid minimal sekali setahun bagi penderita DM adan atau HT usia ≥ 40 tahun</t>
  </si>
  <si>
    <t>Deteksi Dini Penyakit Jantung dengan EKG minimal sekali setahun bagi penderita DM adan atau HT usia ≥ 40 tahun</t>
  </si>
  <si>
    <t>Deteksi Dini Kanker Payudara dengan pemeriksaan SADANIS oleh tenaga kesehatan bagi Wanita Usia Subur (WUS) usia 30 - 50 tahun</t>
  </si>
  <si>
    <t>Deteksi Dini Kanker Leher Rahim  dengan pemeriksaan IVA Tes atau pap smear  bagi Wanita Usia Subur (WUS) usia 30 - 50 tahun</t>
  </si>
  <si>
    <t xml:space="preserve">Prosentase penderita TB yang diperiksa Gula Darah minimal 1 kali dalam masa pengobatan  TB di FKTP </t>
  </si>
  <si>
    <t xml:space="preserve">●  Persentase penduduk usia  ≥ 15 tahun dengan risiko masalah kesehatan jiwa yang dilakukan skrining dengan menggunakan instrumen SDQ (untuk usia 15-18 tahun) atau SRQ-20 (usia di atas 18 tahun) dan/atau ASSIST, yang dilakukan oleh tenaga kesehatan dan/atau kader kesehatan dan/atau guru terlatih.
●  Hasil estimasi penduduk ≥15 tahun dengan risiko masalah kesehatan jiwa diperoleh dari ¼  (data WHO yang menyatakan 1 dari 4 orang berisiko mengalami gangguan jiwa) dikalikan jumlah penduduk usia ≥ 15 tahun di wilayah tersebut dalam kurun waktu yang sama.
</t>
  </si>
  <si>
    <t>●  Persentase penderita gangguan jiwa (gangguan campuran cemas dan depresi serta skizofrenia) yang memperoleh layanan di Fasyankes  dengan kriteria:
1) Sesuai dengan Pedoman Penggolongan dan Diagnosis Gangguan Jiwa Edisi III (1981) 
2) Nakes (UU No. 36 Tahun 2014 Tentang Tenaga Kesehatan terlatih Membuat pencatatan dan pelaporan).
●  Estimasi penderita gangguan jiwa (penyandang gangguan campuran cemas dan depresi berat dan penyandang skizofrenia) diperoleh dengan menghitung :
Prevalensi komposit (provinsi) penderita skizofrenia &amp; depresi yang berobat (0,648) x Jumlah penduduk total di wilayah kerja
●  Pelayanan kesehatan pada penyandang gangguan jiwa meliputi :
1) Pemeriksaan kesehatan jiwa
2) Edukasi
3) Rujukan jika diperlukan</t>
  </si>
  <si>
    <t>●  Pasien pasung adalah pasien yang mengalami tindakan berupa pengikatan dan atau pengekangan mekanis/fisik lainnya dan/atau penelantaran dan/atau pengisolasian sehingga merampas kebebasan dan hak asasi seseorang, termasuk hak untuk mendapatkan pelayanan kesehatan.
●  Jumlah kunjungan pasien pasung adalah jumlah/banyaknya pasien pasung yang dikunjungi petugas atau Kader Kesehatan Jiwa (KKJ), minimal 12 kali dalam tahun berlangsung.
●  Jumlah pasien pasung adalah jumlah riil temuan kasus pasung di wilayah kerja, berdasarkan pendataan petugas &amp; konfirmasi dengan data     Dinas Sosial.</t>
  </si>
  <si>
    <t>●  Pasien pasung adalah pasien yang mengalami tindakan berupa pengikatan dan/atau pengekangan mekanis/fisik lainnya dan/atau penelantaran dan/atau pengisolasian sehingga merampas kebebasan dan hak asasi seseorang, termasuk hak untuk mendapatkan pelayanan kesehatan.
●  Pelepasan/pembebasan pasung adalah pembebasan pasien dari tindakan-tindakan pengikatan dan/atau pengekangan mekanis/fisik lainnya dan/atau penelantaran dan/atau pengisolasian, tanpa mengalami re-pasung/ pemasungan kembali pada tahun berlangsung.
●  Jumlah pasien pasung adalah jumlah riil temuan kasus pasung di wilayah kerja, berdasarkan pendataan petugas &amp; konfirmasi dengan data     Dinas Sosial).</t>
  </si>
  <si>
    <t xml:space="preserve">Jumlah keluarga binaan baru dan lanjutan pada bulan ini yang mendapatkan asuhan keperawatan keluarga oleh tim terpadu Puskesmas (medis, paramedis, gizi, kesling, promkes sesuai kebutuhan) Yang termasuk keluarga binaan adalah keluarga dengan penyakit menular, tidak menular, termasuk jiwa , ibu hamil resiko tinggi, KEK dan  balita resiko tinggi, KEK dan lain-lain di Puskesmas dan jaringannya pada periode Januari - Desember. </t>
  </si>
  <si>
    <t>Jumlah Keluarga binaan pada bulan ini yang telah Mandiri /mencapai KM IV (adalah  keluarga mampu melakukan tindakan preventif dan promotif secara aktif sesuai kasus/anjuran petugas) pada periode Januari - Desember</t>
  </si>
  <si>
    <t>Jumlah Kelompok binaan baru dan lanjutan pada bulan ini yang mendapat asuhan keperawatan kelompok oleh tim terpadu Puskesmas (medis, paramedis, gizi, kesling, promkes sesuai kebutuhan). Yang termasuk kelompok binaan antara lain Posyandu Balita, Posyandu Lansia, Posbindu, posyandu Jiwa, Poskestren, Pos UKK, Sekolah, Panti Asuhan, Panti Werda, Lapas dll pada  periode Januari - Desember</t>
  </si>
  <si>
    <t xml:space="preserve">Jumlah desa/kelurahan binaan baru dan lanjutan bulan ini yang mendapatkan asuhan keperawatan pada periode Januari - Desember </t>
  </si>
  <si>
    <t>PAUD dan TK yang mendapat penyuluhan/ pemeriksaan kesehatan gigi dan mulut di wilayah kerja Puskesmas dalam waktu 1 tahun</t>
  </si>
  <si>
    <t>Kunjungan petugas Puskesmas terkait kesehatan gigi dan mulut ke Posyandu (Posyandu Balita dan Lansia) di wilayah kerja Puskesmas dalam waktu 1 tahun</t>
  </si>
  <si>
    <t>Sosialisasi/Penyuluhan tentang pencegahan &amp; penanggulangan bahaya penyalahgunaan NAPZA kepada siswa sekolah (setingkat SD, SLTP &amp; SLTA), dengan cakupan materi wajib :
- Definisi NAPZA
- Jenis-jenis dan contoh NAPZA
- Bahaya penyalahgunaan NAPZA
- Fasilitasi pertolongan/bantuan/perlindungan bagi korban penyalahgunaan NAPZA</t>
  </si>
  <si>
    <t xml:space="preserve">Jemaah haji yang dilakukan pemeriksaan kesehatan yang dientry dalam siskohat  (Sistem Komputerisasi Kesehatan Terpadu) pada 3 (tiga) bulan sebelum operasional </t>
  </si>
  <si>
    <t>Penyehat Tradisional yang memiliki STPT (Surat Terdaftar Penyehat Tradisional) yang ada di wilayah kerja Puskesmas. Penyehat Tradisional adalah seseorang yang memiliki pengetahuan pengobatan radisional dengan modalitas ketrampilan dan ramuan yang diperoleh secara turun temurun atau kursus pada penyehat tradisional senior</t>
  </si>
  <si>
    <t xml:space="preserve">Panti Sehat berkelompok yang berijin yang ada di wilayah Kerja Puskesmas.Panti Sehat adalah tempat yang digunakan untuk melakukan perawatan kesehatan tradisional empiris yang berijin dan yang memberikan pelayanan lebih dari 1 (satu) orang penyehat tradisional (Hattra)                    </t>
  </si>
  <si>
    <t xml:space="preserve">Penyehat Tradisional yang ada di wilayah kerja Puskesmas yang mendapat pembinaan (Sosialisasi dan Kunjungan Lapangan) oleh petugas kesehatan </t>
  </si>
  <si>
    <t>Desa/Kelurahan yang memiliki Kelompok Asuhan Mandiri dengan SK Kepala Desa/Kelurahan di wilayah kerja Puskesmas. Kelompok Asuhan Mandiri adalah kelompok masyarakat yang mampu memelihara dan meningkatkan kesehatan serta mencegah dan mengatasi masalah gangguan kesehatan ringan secara mandiri oleh individu dalam keluarga, kelompok atau masyarakat dengan memanfaatkan Taman Obat Keluarga/TOGA dan akupresur.</t>
  </si>
  <si>
    <t>Kelompok Asman yang berpartisipasi dalam kegiatan Posbindu PTM di Wilayah Puskesmas</t>
  </si>
  <si>
    <t>Kelompok/ klub olahraga, meliputi  kelompok olahraga di sekolah, klub antara lain jantung sehat, senam asma, senam usila, senam ibu hamil, senam diabetes, senam osteoporosis, kebugaran jamah haji dan kelompok olahraga/latihan fisik lainnya yang dibina di wilayah kerja Puskesmas selama pada kurun waktu tertentu.</t>
  </si>
  <si>
    <t xml:space="preserve">Calon Jamaah Haji  (CJH) yang dilakukan pengukuran kebugaran jasmani sesuai dengan pedoman yang  ada. </t>
  </si>
  <si>
    <t>Puskesmas yang melaksanakan pelayanan kesehatan olahraga internal , yaitu : 1. perencanaan tahunan dan bulanan; 2. peregangan minimal 2-5  kali dalam seminggu ; 3. senam bersama seminggu sekali; 4. pengukuran kebugaran jasmani karyawan Puskesmas minimal 1 kali per tahun)</t>
  </si>
  <si>
    <t>Sekolah Dasar/MI adalah lembaga pendidikan yang menyelenggarakan program pendidikan enam tahun bagi anak usia 6-12 tahun. Pengukuran Kebugaran Anak Sekolah /Madarasah adalah pengukuran kebugaran pada anak kelas 4-6 tahun yang berusia 10 - 12 tahun</t>
  </si>
  <si>
    <t xml:space="preserve">Puskesmas menyelenggarakan K3 Puskesmas (internal) adalah puskesmas menyelenggarakan K3 di internal sesuai dengan permenkes nomor 52 Tahun 2018 yaitu : 
1) Pengenalan potensi bahaya dan pengendalian risiko K3 Fasyankes
2) Penerapan kewaspadaan standar 
3) Penerapan prinsip ergonomi 
4)  pemberian imunisasi 
5) Pembudayaan perilaku hidup bersih dan sehat di fasyankes 
6) Pemeriksaan kesehatan berkala 
7) Pengelolaan sarana dan prasarana fasyankes dari aspek K3 
8) Pengelolaan peralatan medis dari aspek K3 
9) kesiapsiagaan menghadapi kondisi darurat atau bencana, termasuk kebakaran
10) Pengelolan bahan B3 dan limbah B3
11) Pengelolaan limbah domestik </t>
  </si>
  <si>
    <t>Puskesmas menyelenggarakan pembinaan K3 adalah pembinaan setiap SDM di puskesmas yang melakukan assesment dengan menggunakan format assesment yang sudah ditetapkan. Perkantoran adalah kantor kecamatan dan kantor kelurahan</t>
  </si>
  <si>
    <t xml:space="preserve">Salah satu atau seluruh kegiatan promosi (penyuluhan, konseling, latihan olahraga dll) dan/ atau preventif (imunisasi, pemeriksaan kesehatan, APD, ergonomi, pengendalian bahaya lingkungan dll)  yang dilakukan minimal 1 (satu) kali tiap bulan selama 12 ( dua belas) bulan pada kelompok kesehatan kerja informal                              </t>
  </si>
  <si>
    <t>Jumlah kader kesehatan/ kader gema cermat yang telah tersosialisasi gema cermat yang aktif menjadi fasilitator kegiatan gema cermat kepada masyarakat diwilayah kerjanya.</t>
  </si>
  <si>
    <t>Jumlah desa/kelurahan di wilayah kerja puskesmas yang telah tersosialisasi kegiatan gema cermat.</t>
  </si>
  <si>
    <t>Jumlah masyarakat yang telah tersosialisasikan gema cermat = Jumlah masyarakat yang telah tersosialisasikan gema cermat dibagi  jumlah masyarakat (usia&gt;15 tahun) yang ditargetkan di wilayah kerja dikali 100% dengan materi awal Dagusibu 5O serta materi tematik ( TB, HT ,DM, Stunting,  Jiwa)</t>
  </si>
  <si>
    <t xml:space="preserve">Indikator untuk mengetahui aksesabilitas dan pemanfaatan pelayanan primer oleh peserta berdasarkan jumlah peserta jaminan kesehatan (per nomor identitas peserta) yang mendapatkan pelayanan kesehatan (kontak sakit maupun sehat) di Puskesmas per bulan baik di dalam gedung maupun di luar gedung tanpa memperhitungkan frekuensi kedatangan peserta dalam satu bulan                                                                                    </t>
  </si>
  <si>
    <t>Indikator untuk mengetahui kualitas pelayanan di Puskesmas sehingga sistem rujukan terselenggara sesuai indikasi medis dan kompetensinya.              Kasus non spesialistik adalah kasus terkait 144 diagnosa yang harus ditangani di Puskesmas serta kriteria Time-Age-Complication-Comorbidity (TACC). Kelayakan rujukan kasus tersebut berdasarkan kesepakatan dalam bentuk perjanjian kerjasama antara BPJS Kesehatan, Puskesmas, Dinkes Kabupaten/Kota dan organisasi profesi dengan memperhatikan kemampuan pelayanan Puskesmas serta progresifitas penyakit yang merupakan keadaan khusus dan/atau kedaruratan medis</t>
  </si>
  <si>
    <t>Pelayanan kesehatan sesuai standar meliputi :       
a. Pengukuran tekanan darah dilakukan minimal satu kali sebulan di fasilitas pelayanan kesehatan    
b. Edukasi perubahan gaya hidup dan / atau kepatuhan minum obat                                    
c. Melakukan rujukan jika diperlukan. Tekanan Darah Sewaktu (TDS) lebih dari 140 mmHg ditambahkan pelayanan terapi farmakologi</t>
  </si>
  <si>
    <t xml:space="preserve">Pelayanan kesehatan sesuai standar yang meliputi :  
a. Pengukuran gula darah dilakukan minimal satu kali sebulan di fasilitas pelayanan kesehatan          
b. Edukasi perubahan gaya hidup dan / atau nutrisi
c. Melakukan rujukan jika diperlukan.Gula darah Sewaktu (GDS) lebih dari 200 mg/dl ditambahkan pelayanan terapi farmakologi             </t>
  </si>
  <si>
    <t xml:space="preserve">Persentase penyandang hipertensi yang tekanan sistol dan diastol turun dari kurang dari 140/90 mmHg dalam kurun waktu 1 tahun minimal 3 kali (3 bulan) dalam 1 tahun </t>
  </si>
  <si>
    <t xml:space="preserve">Persentase penyandang diabetes melitus yang gula darah puasa &lt; 126 mg/dl atau gula darah 2 jam pp nya &lt; 200 mg/dl sebanyak minimal 3 kali (3 bulan) atau HbA1c &lt;7% minimal 1 kali dalam kurun waktu 1 tahun 
</t>
  </si>
  <si>
    <t>Pelayanan kuratif kesehatan gigi dan mulut yang dilakukan di Puskesmas, dinilai dengan membandingkan perlakuan tambal/cabut gigi tetap</t>
  </si>
  <si>
    <t xml:space="preserve">Pelayanan kesehatan gigi  ibu hamil minimal 1 kali selama kehamilan  di Puskesmas (konseling/ pemeriksaan/ perawatan) </t>
  </si>
  <si>
    <t xml:space="preserve">Rekam medik yang lengkap dalam 24 jam setelah selesai pelayanan, diisi oleh  tenaga medis dan atau paramedis  (identitas, SOAP, KIE, askep, diagnosis, kode ICD X, kajian sosial, pengobatan, tanda tangan) serta  pengisian identitas rekam medik lengkap oleh petugas rekam medik (nama, nomor rekam medik, tanggal lahir, jenis kelamin, alamat, no kartu BPJS)  </t>
  </si>
  <si>
    <t>Kelengkapan pengisian data informed consent meliputi identitas pasien, informasi (diagnosis dan tata cara tindakan kedokteran, tujuan tindakan kedokteran yang dilakukan, alternatif tindakan lain dan risikonya, risiko dan komplikasi yang mungkin terjadi, prognosis dari tindakan yang akan dilakukan serta perkiraan pembiayaan) dan tanda tangan saksi serta pemberi layanan.</t>
  </si>
  <si>
    <t>Evaluasi kesesuaian item obat yang tersedia di Puskesmas terhadap Fornas FKTP. Perhitungan evaluasi kesesuaian item obat yang tersedia dengan Fornas dilakukan setiap bulan.</t>
  </si>
  <si>
    <t>Tersedianya obat  untuk pelayanan kesehatan dasar terhadap 40 item obat indikator (Albendazol /Pirantel Pamoat, Alopurinol, Amlodipin/Kaptopril, Amoksisilin 500 mg, Amoksisilin sirup, Antasida tablet kunyah/antasida suspensi, Amitriptilin tab, Asam Askorbat (Vitamin C), Asiklovir, Betametason salep, Deksametason tablet/deksametason injeksi, Diazepam injeksi  5 mg/ml, Diazepam, Dihidroartemsin+piperakuin (DHP) dan primaquin, Difenhidramin Inj. 10 mg/ml, Epinefrin (Adrenalin) injeksi  0,1 % (sebagai HCl), Fitomenadion (Vitamin K) injeksi, Furosemid 40 mg/Hidroklorotiazid (HCT), Garam Oralit  serbuk, Glibenklamid/Metformin, Hidrokortison krim/salep, Kotrimoksazol (dewasa) kombinasi tablet/Kotrimoksazol suspensi, Ketoconazol tab, Klorfeniramin Maleat (CTM) tab, Lidokain inj, Magnesium Sulfat injeksi, Metilergometrin Maleat injeksi  0,200 mg-1 ml, Natrium Diklofenak, OAT FDC Kat 1, Oksitosin injeksi, Parasetamol sirup 120 mg / 5 ml, Parasetamol 500 mg, Prednison 5 mg, Retinol 100.000/200.000 IU, Salbutamol, Salep Mata/Tetes Mata Antibiotik, Simvastatin, Tablet Tambah Darah, Vitamin B6 (Piridoksin), Zinc 20 mg),.Pemilihan obat dan vaksin 45 item tersebut adalah sesuai dengan Indikator Kinerja Kementerian pada Direktorat Tata Kelola Obat Publik dan Perbekkes Ditjen Farmalkes Kemkes RI. Penilaian ketersediaan obat dan vaksin dilakukan setiap bulan.</t>
  </si>
  <si>
    <t>Tersedianya vaksin untuk pelayanan kesehatan dasar terhadap 5 item vaksin ndikator ( Vaksin Hepatitis B, Vaksin BCG, Vaksin DPT - Hb - HIB, Vaksin Polio, Vaksin Campak/Vaksin Rubella)   Pemilihan obat dan vaksin 45 item tersebut adalah sesuai dengan Indikator Kinerja Kementerian pada Direktorat Tata Kelola Obat Publik dan Perbekkes Ditjen Farmalkes Kemkes RI. Penilaian ketersediaan obat dan vaksin dilakukan setiap bulan.</t>
  </si>
  <si>
    <t>Penggunaan antibiotika pada penatalaksanaan kasus ISPA non pneumoni per lembar resep terhadap seluruh kasus tersebut. Penggunaan antibiotik pada penatalaksanaan kasus ISPA non-pneumonia memiliki batas toleransi maksimal sebesar 20%. Data sampel diambil dari resep 1 kasus per hari dengan urutan pertama dengan diagnosa penyakit misal seperti ISPA ats (acute upper respiratory tract infection) (diagnosa dokter/perawat tidak spesifik), pilek (common cold), batuk-pilek, otitis media, sinusitis atau dalam kode ICD X berupa J00, J01, J04, J05, J06, J10, J11.</t>
  </si>
  <si>
    <t xml:space="preserve">Penggunaan antibiotika pada penatalaksanaan kasus diare non spesifik terhadap seluruh kasus tersebut. Penggunaan antibiotik pd penatalaksanaan kasus diare non-spesifik memiliki batas toleransi maksimal 8 %. Diare Non Spesifik meliputi Gastroenteritis, penyebab tidak jelas, virus, dll (non bakterial). Data sampel diambil dari resep 1 kasus per hari dengan urutan pertama dengan diagnosa penyakit ditulis diare mencret atau sejenisnya atau dalam kode ICD X berupa A09 dan K52. </t>
  </si>
  <si>
    <t xml:space="preserve">Penggunaan  injeksi pada penatalaksanaan kasus myalgia terhadap seluruh kasus tersebut. Penggunaan injeksi pada penatalaksanaan kasus myalgia dengan batas toleransi  maksinal 1%. Data sampel diambil dari resep 1 kasus per hari dengan urutan pertama dengan diagnosa penyakit nyeri otot, pegal-pegal sakit pinggang, atau sejenisnya yang tidak membutuhkan injeksi (misal vitamin B1) </t>
  </si>
  <si>
    <t>rerata item obat per lembar resep terhadap seluruh kasus  tersebut. Rerata item obat perlembar resep dengan batas toleransi 2,6. ( perhitungan sesuai dengan laporan Penggunaan Obat Rasional bulanan puskesmas)</t>
  </si>
  <si>
    <t>Jumlah kegiatan pengkajian resep ,pelayanan resep dan pemberian informasi obat yang terdokumentasi.</t>
  </si>
  <si>
    <t>Jumlah Konseling yang dilakukan pada pasien kronis ( penderita DM, Hipertensi, TB, HIV/AIDS, ODGJ) yang terdokumentasi.</t>
  </si>
  <si>
    <t>Jumlah pelayanan Informasi Obat yang terdokumentasi.
Pelayanan informasi obat adalah kegiatan pelayanan yang dilakukan oleh Apoteker untuk memberikan informasi secara akurat, jelas dan terkini kepada dokter, apoteker, perawat, profesi kesehatan lainnyaserta  pasien serta pihak lain diluar fasyankes.</t>
  </si>
  <si>
    <t>50 Jenis pelayanan meliputi: 
a.Hemoglobin, Hematokrit, Hitung eritrosit, Hitung trombosit, Hitung lekosit, Hitung jenis lekosit, LED, Masa perdarahan dan Masa pembekuan.
b. Kimia klinik: Glukosa, Protein, Albumin, Bilirubin total, Bilirubin direk, SGOT, SGPT, Alkali fosfatase, Asam urat,Ureum/BUN, Kreatinin, Trigliserida, Kolesterol total, Kolesterol HDL dan Kolesterol LDL.
c. Mikrobiologi dan Parasitologi: BTA, Diplococcus gram negatif, Trichomonas vaginalis, Candida albicans, Bacterial vaginosis, Malaria, Microfilaria dan Jamur permukaan.
d. Imunologi: Tes kehamilan, Golongan darah, Widal, VDRL, HbsAg, Anti Hbs, Anti HIV dan Antigen/antibody dengue.
e. Urinalisa: Makroskopis (Warna, Kejernihan, Bau, Volume), pH, Berat jenis, Protein, Glukosa, Bilirubin, Urobilinogen, Keton, Nitrit, Lekosit, Eritrosit dan Mikroskopik (sedimen).
f. Tinja: Makroskopik, Darah samar dan Mikroskopik.</t>
  </si>
  <si>
    <t xml:space="preserve">Waktu mulai pasien diambil sample sampai dengan menerima hasil yang sudah diekspertisi sesuai jenis pemeriksaan dan kebijakan  tentang waktu tunggu penyerahan hasil </t>
  </si>
  <si>
    <t>Pemeriksaan mutu pelayanan laboratorium oleh Tenaga Puskesmas yang kompeten, dilakukan evaluasi, analisa dan tindak lanjut</t>
  </si>
  <si>
    <t>Prosentase pemakaian tempat tidur rawat inap umum di Puskesmas rawat inap setiap bulan</t>
  </si>
  <si>
    <t xml:space="preserve">Rekam medik yang telah diisi lengkap  pada pelayanan rawat inap oleh staf medis dan atau tenaga yang diberikan pelimpahan kewenangan, meliputi kelengkapan pengisian identitas, SOAP, KIE, asuhan keperawatan, lembar observasi , lembar rujukan, asuhan gizi, resume medis, surat pemulangan, informed concent, monitoring rujukan, monitoring  pra, selama dan sesudah pemberian anestesi dan laporan operasi </t>
  </si>
  <si>
    <t>Jumlah tindakan kebersihan tangan yang dilakukan dibagi Jumlah total peluang kebersihan tangan yang seharusnya dilakukan dalam periode observasi dikali 100%</t>
  </si>
  <si>
    <t>Kepatuhan  penggunaan APD adalah kepatuhan petugas dalam menggunakan APD dengan tepat sesuai indikasi ketika melakukan tindakan yang memungkinkan tubuh terkena cairan tubuh atau cairan infeksius lainnya. 
Penilaian kepatuhan penggunaan APD adalah penilaian terhadap petugas dalam menggunakan APD sesuai indikasi dengan tepat saat memberikan pelayanan kesehatan pada periode observasi.</t>
  </si>
  <si>
    <t>Jumlah petugas yang patuh menggunakan APD sesuai indikasi dalam periode observasi dibagi Jumlah seluruh petugas yang terindikasi menggunakan APD dalam periode observasi dikali 100%</t>
  </si>
  <si>
    <t>Identifikasi pasien secara benar adalah proses identifikasi yang dilakukan pemberi pelayanan dengan menggunakan minimal dua penanda identitas seperti: nama lengkap, tanggal lahir, nomor rekam medik, NIK sesuai dengan yang ditetapkan di Puskesmas. 
Identifikasi pasien secara benar dilakukan antara lain pada:
a. Pemberian pengobatan 
b. Prosedur tindakan 
c. Prosedur diagnostik</t>
  </si>
  <si>
    <t>Jumlah pemberi pelayanan yang melakukan identifikasi pasien secara benar dalam periode observasi dibagi Jumlah pemberi pelayanan yang diobservasi dalam periode observasi dikali 100%</t>
  </si>
  <si>
    <t>Keberhasilan pengobatan pasien TB adalah angka yang menunjukkan persentase semua pasien TB yang sembuh dan pengobatan lengkap di antara semua pasien TB yang diobati dan dilaporkan sesuai dengan periodisasi waktu pengobatan TB. Angka ini merupakan penjumlahan dari angka kesembuhan semua kasus dan angka pengobatan lengkap semua kasus yang menggambarkan kualitas pengobatan TB</t>
  </si>
  <si>
    <t>Jumlah semua pasien TB SO yang sembuh dan pengobatan lengkap pada tahun berjalan di wilayah keja Puskesmas dibagi Jumlah semua kasus TB SO yang diobati pada tahun berjalan di wilayah kerja dikali 100%</t>
  </si>
  <si>
    <t>Ibu hamil yangmendapatkan pelayanan ANC sesuai standar adalah ibu hamil yang telah bersalin serta mendapatkan pelayanan ANC lengkap sesuai dengan standar kuantitas dan standar kualitas selama periode kehamilan di wilayah kerja Puskesmas pada tahun berjalan. 
Pelayanan kesehatan masa hamil dilakukan paling sedikit 6 (enam) kali. 1 (satu) kali pada trimester pertama, 2 (dua) kali pada trimester kedua, 3 (tiga) kali pada trimester ketiga. Ibu hamil paling sedikit kontak dengan dokter 2 (dua) kali yaitu 1 (satu) kali di trimester pertama dan 1 (satu) kali di trimester ketiga. Pelayanan sesuai standar meliputi 10T yaitu: 
1. Pengukuran berat badan dan tinggi badan
2. Pengukuran tekanan darah
3. Pengukuran lingkar lengan atas (LiLA)
4. Pengukuran tinggi fundus uteri
5. Penentuan presentasi janin dan denyut jantung janin
6. Imunisasi
7. Pemberian tablet tambah darah
8. Laboratorium (Golongan darah, Hb, Gluko protein urin, HIV) 
9. Tata laksana
10. Temu wicara</t>
  </si>
  <si>
    <t>Jumlah ibu hamil yang telah mendapatkan pelayanan ANC lengkap sesuai standar di wilayah kerja Puskesmas pada tahun berjalan dibagi Jumlah seluruh ibu hamil yang telah bersalin yang mendapatkan pelayanan ANC di wilayah kerja Puskesmas pada tahun berjalan dikali 100%</t>
  </si>
  <si>
    <t xml:space="preserve">Kepuasan pasien adalah hasil pendapat dan penilaian pasien terhadap kinerja pelayanan yang diberikan oleh fasilitas pelayanan kesehatan. Pengukuran secara komprehensif  tentang tingkat kepuasan pasien terhadap kualitas layanan yang diberikan oleh fasyankes terhadap pasien dilakukan dengan survei kepuasan pasien. Unsur survei kepuasan pasien menurut Permenpan RB No 14 Tahun 2017 tentang Pedoman Penyusunan Survei Kepuasan Masyarakat Unit Penyelenggara Pelayanan Publik meliputi:
1. Persyaratan 
2. Sistem, Mekanisme, dan Prosedur
3. Waktu Penyelesaian
4. Biaya/Tarif
5. Produk Spesifikasi Jenis Pelayanan
6. Kompetensi Pelaksana
7. Perilaku Pelaksana
8. Penanganan Pengaduan, Saran dan Masukan
9. Sarana dan prasarana </t>
  </si>
  <si>
    <t>Total nilai persepsi seluruh responden dibagi Total unsur yang terisi dari seluruh responden dikali 25</t>
  </si>
  <si>
    <t>Kebersihan tangan dilakukan dengan mencuci tangan menggunakan sabun dan air mengalir bila tangan tampak kotor atau terkena cairan tubuh, atau menggunakan alkohol (alkohol-based handrubs) dengan kandungan alkohol 60-80% bila tangan tidak tampak kotor. 
Kebersihan tangan yang dilakukan dengan benar adalah kebersihan tangan sesuai indikasi dan langkah kebersihan tangan sesuai rekomendasi WHO.
Indikasi adalah alasan mengapa kebersihan tangan dilakukan. Ada lima indikasi (five moment) kebersihan tangan terdiri dari;
1. Sebelum kontak dengan pasien
2. Sesudah kontak dengan pasien
3. Sebelum melakukan prosedur aseptik
4. Setelah bersentuhan dengan cairan tubuh pasien
5. Setelah bersentuhan dengan lingkungan pasien 
Peluang adalah periode di antara indikasi di mana tangan terpapar kuman. Tindakan kebersihan yang tangan dilakukan sesuai peluang yang diindikasikan.</t>
  </si>
  <si>
    <t>Untuk memastikan lokasi pembedahan yang benar, prosedur yang benar, pembedahan pada pasien yang benar dilakukan doubel check terhadap prosedur pembedahan untuk memastikan lokasi pembedahan yang benar dan pada pasien yang benar di UGD/tindakan, persalinan, KIA-KB dan poli gigi, agar tidak terjadi kesalahan orang dan salah sisi</t>
  </si>
  <si>
    <t>Jumlah prosentase kepatuhan petugas yang melakukan komunikasi efektif sesuai prosedur  dibagi jumlah petugas di UGD/ ruang tindakan, ruang bersalin,  rawat inap serta laboratorium yang diamati kepatuhannya</t>
  </si>
  <si>
    <t>Jumlah prosentase kepatuhan petugas terhadap SOP dalam mengelola label obat high alert, LASA dan kadaluarsa) dihitung compliance rate petugas</t>
  </si>
  <si>
    <t>Jumlah prosentase kepatuhan petugas dalam melakukan doubel check pada tindakan/bedah minor dibagi jumlah petugas yang diamati kepatuhannya (UGD/ruang tindakan, persalinan, KIA-KB dan poli gigi)</t>
  </si>
  <si>
    <t xml:space="preserve"> Jumlah pentapisan (screening) pasien dengan risiko jatuh dibagi jumlah pasien risiko jatuh dikali 100%</t>
  </si>
  <si>
    <t xml:space="preserve">Petugas melakukan komunikasi efektif di rekam medis antara lain: penyampaian pesan verbal lewat telpon atau media komunikasi dengan SBAR (Situational, Background, Assesment, Recomendation) pada pelaporan kasus dan TBK (Tulis,Baca, Konfirmasi) pada saat menerima instruksi dokter : penyampaian nilai kritis hasil pemeriksaan penunjang , transfer/operan pada waktu serah terima pasien dan  rujukan </t>
  </si>
  <si>
    <t xml:space="preserve">Pengelolaan obat obat yang diwaspadai dilakukan dengan pelabelan obat  high alert (obat yang beresiko tinggi),misal : insulin, narkotika, agonis adrenegik, antagonis adrenegik, anestesi (general, inhalasi, IV), antitrombotic, dextrose 20%, parenteral nutrisi, oral hipoglikemik), obat yang mempunyai  nama, bunyi  dan sediaan hampir sama (LASA/ Look Alike Sound Alike) dan pelabelan kadaluarsa di ruang farmasi dan gudang obat </t>
  </si>
  <si>
    <t xml:space="preserve">Cedera pada pasien dapat terjadi karena jatuh di fasilitas kesehatan.Untuk mengurangi risiko cedera pasien akibat terjatuh dilakukan pentapisan/screening. Kriteria untuk melakukan pentapisan kemungkinan terjadinya risiko jatuh harus ditetapkan, dan dilakukan upaya untuk mencegah atau meminimalkan kejadian jatuh di fasilitas kesehatan.Pentapisan dilakukan untuk meminimalkan terjadinya risiko jatuh di Puskesmas.Upaya dan penandaan dilakukan untuk mengurangi risiko jatuh pada pasien dari situasi dan lokasi yang dapat mengakibatkan pasien jatuh </t>
  </si>
  <si>
    <t>Melakukan pelaporan insiden (KTD, Sentinel, KTC, KNC dan KPC signifikan) sesuai prosedur.</t>
  </si>
  <si>
    <t>Jumlah dokumen pelaporan  insiden dibanding insiden yang terjadi  dikali 100%</t>
  </si>
  <si>
    <t>Target Th 2023</t>
  </si>
  <si>
    <t>Indikator UKM Pengembangan Puskesmas</t>
  </si>
  <si>
    <t>Indikator UKP</t>
  </si>
  <si>
    <t>Indikator Mutu</t>
  </si>
  <si>
    <t>Pelayanan kesehatan  balita berusia 0-59 bulan sesuai standar  meliputi  pelayanan kesehatan balita sehat dan balita sakit                                                                                                                                             1. Pelayanan kesehatan balita usia  0-11 bulan  sehat meliputi:                                                                                                                                                        a). Penimbangan minimal 8 kali setahun                                                                                                                              b).pengukuran panjang/tinggi badan minimal 2 kali/tahun.                                                                                                                                                c). Pemantauan perkembangan minimal 2 kali/tahun.                                                                                                                                                                                                                                                   d).Pemberian kapsul vitamin A pada fusia 6-11 bulan  1 kali setahun.                                                                                            
e) Pemberian imunisasi dasar lengkap.                                                                                                                                   Pelayanan kesehatan Balita usia 12-23 bulan:
(1) Penimbangan minimal 8 kali setahun (minimal 4 kali dalam kurun waktu 6 bulan).
(2) Pengukuran panjang/tinggi badan minimal 2 kali/tahun (3) Pemantauan perkembangan minimal 2 kali/tahun (4).Pemberian kapsul vitamin A sebanyak 2 kali setahun.
(5) Pemberian Imunisasi Lanjutan.                                                                                                                                           Pelayanan kesehatan Balita usia 24-59 bulan:
(1) Penimbangan minimal 8 kali setahun (minimal 4 kali dalam kurun waktu 6 bulan).
(2) Pengukuran panjang/tinggi badan minimal 2 kali/tahun.
(3) Pemantauan perkembangan minimal 2 kali/ tahun.
(4) Pemberian kapsul vitamin A sebanyak 2 kali setahun.
d) Pemantauan perkembangan balita.
e) Pemberian kapsul vitamin A.
f) Pemberian imunisasi dasar lengkap.
g) Pemberian imunisasi lanjutan.
h) Pengukuran berat badan dan panjang/tinggi badan.
i) Edukasi dan informasi.
3) Pelayanan kesehatan balita sakit adalah pelayanan balita menggunakan pendekatan manajemen terpadu balita sakit (MTBS)</t>
  </si>
  <si>
    <t>Jumlah peserta KB aktif yang drop out  dibagi jumlah KB aktif  dikali 100%  Jumlah peserta KB yang drop out  dibagi jumlah peserta KB aktif dikali 100 %.                                            
Catatan untuk kinerja Puskesmas :                                                                                                                                          &lt; 10%          = 100%;                 
10 - 12,5%    = 75%;                    
&gt;12,5-15%    =50%;                     
 &gt;15 -17,5%  =25%          
&gt;17,5%         = 0%</t>
  </si>
  <si>
    <t>PUS dimana istrinya memiliki salah satu kriteria “4T” yaitu :                                                                                                      1) berusia kurang dari 20 tahun; 
2) berusia lebih 35 tahun; 
3) telah memiliki anak hidup lebih dari 3 orang; atau 
4) jarak kelahiran antara satu anak dengan lainnya kurang dari 2 tahun.</t>
  </si>
  <si>
    <t>Jumlah balita Diare yang ditemukan dibagi target dikali 100%                                                                                            Target = (20% x 843/1000)  x jumlah balita  (sesuai BPS) di wilayah kerja Puskesmas</t>
  </si>
  <si>
    <t>LROA aktif bila melakukan minimal 2 ( dua) dari 6 kegiatan LRO, yaitu                                                
1. Layanan konseling rehidrasi diare/promosi upaya rehidrasi oral dan pemberian Zinc 
2. Tata laksana diare                                                          
3. Sosialisasi dan peningkatan kapasitas masyarakat tentang diare dan upaya pencegahan dan penanggulangannya         4. Pemberian pelayanan penderita diare dengan dehidrasi ringan sampai sedang                                                   5.Observasi penderita diare dengan dehidrasi ringan sampai sedang paling sedikit 3 ( tiga) jam                                       6.Mengajarkan  cara penyiapan oralit dan berapa banyak oralit yang harus diminum kepada orang tua/pengasuh/ keluarganya</t>
  </si>
  <si>
    <r>
      <rPr>
        <b/>
        <sz val="12"/>
        <rFont val="Tahoma"/>
        <family val="2"/>
      </rPr>
      <t>Layanan</t>
    </r>
    <r>
      <rPr>
        <sz val="12"/>
        <rFont val="Tahoma"/>
        <family val="2"/>
      </rPr>
      <t xml:space="preserve"> kegiatan LROA secara terus menerus dalam 3 bulan dengan periode pelaporan per tribulan.                         Dalam 1 tribulan, laporan bulanan harus ada dan lengkap` Kalau dalam 1 tribulan hanya ada laporan 1 bulan, maka dianggap tidak ada LROA.                                                                                                                                                    Kalau dalam 1 tahun hanya lapor tribulan 4 saja, dianggap kinerja mencapai 25%. (</t>
    </r>
    <r>
      <rPr>
        <b/>
        <sz val="12"/>
        <rFont val="Tahoma"/>
        <family val="2"/>
      </rPr>
      <t>Yang dihitung adalah jumlah layanan)</t>
    </r>
  </si>
  <si>
    <t>Jumlah  kasus TBC yang ditemukan, diobati secara baku dan dilaporkan                                  
LIHAT LAMPIRAN (BERDASARKAN SURAT DIR P2PM DITJEN P2P KEMENKES RI TANGGAL  28 FEBRUARI 2023 NOMOR : PM.01.01/C.III/2004/2023 PERIHAL: SURAT PEMBERITAHUAN FINALISASI PERKIRAAN KASUS TBC TAHUN 2023</t>
  </si>
  <si>
    <t xml:space="preserve">Jumlah kasus DBD yang ditangani sesuai standar Tatalaksana Pengobatan DBD dibagi dengan jumlah seluruh DBD yang terlaporkan di wilayah Puskesmas dikali 100%                                                                                                               Catatan: tidak dihitung sebagai pembagi bila  tidak ada kasus </t>
  </si>
  <si>
    <r>
      <t>Jumlah bayi usia 0-11 bulan yang mendapat imunisasi dasar PCV dosis terakhir dalam kurun waktu satu tahun, dan jumlah bayi usia 0-11 bulan yang mendapat imunisasi dasar rotavirus dosis terakhir dalam kurun waktu satu tahun,</t>
    </r>
    <r>
      <rPr>
        <b/>
        <sz val="12"/>
        <rFont val="Tahoma"/>
        <family val="2"/>
      </rPr>
      <t xml:space="preserve"> dibagi</t>
    </r>
    <r>
      <rPr>
        <sz val="12"/>
        <rFont val="Tahoma"/>
        <family val="2"/>
      </rPr>
      <t xml:space="preserve"> 80% jumlah bayi yang diperkirakan hidup usia 0-11 bulan (Surviving Infant) dalam kurun waktu yang sama </t>
    </r>
    <r>
      <rPr>
        <b/>
        <sz val="12"/>
        <rFont val="Tahoma"/>
        <family val="2"/>
      </rPr>
      <t>dikali</t>
    </r>
    <r>
      <rPr>
        <sz val="12"/>
        <rFont val="Tahoma"/>
        <family val="2"/>
      </rPr>
      <t xml:space="preserve"> 100</t>
    </r>
  </si>
  <si>
    <r>
      <t xml:space="preserve">Jumlah anak usia 12-24 bulan yang mendapat imunisasi lanjutan baduta (bayi usia di bawah 2 tahun) meliputi 1 dosis imunisasi DPT HB-HiB serta 1 dosis imunisasi Campak Rubela di satu wilayah dalam kurun waktu 1 tahun, </t>
    </r>
    <r>
      <rPr>
        <b/>
        <sz val="12"/>
        <rFont val="Tahoma"/>
        <family val="2"/>
      </rPr>
      <t>dibagi</t>
    </r>
    <r>
      <rPr>
        <sz val="12"/>
        <rFont val="Tahoma"/>
        <family val="2"/>
      </rPr>
      <t xml:space="preserve"> 90% jumlah anak usia 18-24 bulan (Surviving Infant tahun lalu ) dalam kurun waktu yang sama, </t>
    </r>
    <r>
      <rPr>
        <b/>
        <sz val="12"/>
        <rFont val="Tahoma"/>
        <family val="2"/>
      </rPr>
      <t>dikali</t>
    </r>
    <r>
      <rPr>
        <sz val="12"/>
        <rFont val="Tahoma"/>
        <family val="2"/>
      </rPr>
      <t xml:space="preserve"> 100</t>
    </r>
  </si>
  <si>
    <r>
      <t xml:space="preserve">Jumlah anak usia kelas 6 SD yang mendapat imunisasi lanjutan lengkap yaitu: satu dosis imunisasi DT, satu dosis imunisasi MR, dua dosis Td dalam kurun waktu satu tahun </t>
    </r>
    <r>
      <rPr>
        <b/>
        <sz val="12"/>
        <rFont val="Tahoma"/>
        <family val="2"/>
      </rPr>
      <t>dibagi</t>
    </r>
    <r>
      <rPr>
        <sz val="12"/>
        <rFont val="Tahoma"/>
        <family val="2"/>
      </rPr>
      <t xml:space="preserve"> jumlah anak usia kelas 6 SD/MI/Sederajat selama kurun waktu yang sama </t>
    </r>
    <r>
      <rPr>
        <b/>
        <sz val="12"/>
        <rFont val="Tahoma"/>
        <family val="2"/>
      </rPr>
      <t>dikali</t>
    </r>
    <r>
      <rPr>
        <sz val="12"/>
        <rFont val="Tahoma"/>
        <family val="2"/>
      </rPr>
      <t xml:space="preserve"> 100</t>
    </r>
  </si>
  <si>
    <r>
      <t xml:space="preserve">Jumlah ibu hamil yang sudah memiliki status imunisasi T2+ (berdasarkan hasil skrining maupun pemberian selama masa kehamilan) dalam kurun waktu satu tahun, </t>
    </r>
    <r>
      <rPr>
        <b/>
        <sz val="12"/>
        <rFont val="Tahoma"/>
        <family val="2"/>
      </rPr>
      <t>dibagi</t>
    </r>
    <r>
      <rPr>
        <sz val="12"/>
        <rFont val="Tahoma"/>
        <family val="2"/>
      </rPr>
      <t xml:space="preserve"> jumlah ibu hamil selama kurun waktu yang sama, </t>
    </r>
    <r>
      <rPr>
        <b/>
        <sz val="12"/>
        <rFont val="Tahoma"/>
        <family val="2"/>
      </rPr>
      <t>dikali</t>
    </r>
    <r>
      <rPr>
        <sz val="12"/>
        <rFont val="Tahoma"/>
        <family val="2"/>
      </rPr>
      <t xml:space="preserve"> 100</t>
    </r>
  </si>
  <si>
    <t>Jumlah Alert direspon  ≥ 80% dibandingkan dengan seluruh Alert di Puskesmas dalam kurun waktu tertentu</t>
  </si>
  <si>
    <t>Semua sekolah yang ada di wilayah Puskesmas melaksanakan Kawasan Tanpa Rokok (KTR) (100% bebas asap rokok), yaitu                                      
1. Tidak ditemukan orang merokok di dalam gedung        
2. Tidak ditemukan ruang merokok di dalam gedung         
3. Tidak tercium bau rokok                  
4. Tidak ditemukan puntung rokok        
5. Tidak ditemukan penjualan rokok     
6. Tidak ditemukan asbak atau korek api                                                                                                                                  7. Tidak ditemukan iklan atau promosi rokok                                                                                                                             8. Ada tanda dilarang merokok</t>
  </si>
  <si>
    <t>Jumlah penduduk usia ≥ 15 tahun yang diperiksa tekanan darah  dibagi Jumlah sasaran penduduk usia ≥ 15 tahun 
di  wilayah kerja puskesmas dalam kurun waktu satu tahun yang sama dikali 100%</t>
  </si>
  <si>
    <t xml:space="preserve">Deteksi Dini  Penyakit Paru Obstruksi Kronis (PPOK) bagi perokok usia ≥ 40 tahun dan atau mempunyai riwayat paparan: asap rokok, polusi udara, lingkungan tempat kerja dan atau Mempunyai gejala dan keluhan batuk berdahak, sesak nafas, gejala  berlangsung lama umumnya semakin memberat dengan Kuesioner PUMA </t>
  </si>
  <si>
    <t xml:space="preserve">Deteksi Dini Gangguan Indera  (Deteksi dini gangguan penglihatan dan atau gangguan pendengaran bagi penduduk usia 7 tahun keatas .    
Cara Pemeriksaan :
Deteksi Dini Kelainan Refraksi atau deteksi dini gangguan penglihatan: pemeriksaan tajam penglihatan yang dilakukan dengan metode hitung jari, dan/atau e-tumbling, dan/atau snellen chart. 
Deteksi Dini OMSK atau deteksi dini gangguan pendengaran : 
pemeriksaan tajam pendengaran yang dilakukan dengan metode berbisik modifikasi dan/atau garpu tala dan/atau inspeksi telinga.
</t>
  </si>
  <si>
    <t xml:space="preserve">Kader  aktif pada kegiatan Edukasi dan Pemberdayaan masyarakat tentang obat pada Gerakan masyarakat cerdas menggunakan obat </t>
  </si>
  <si>
    <t>Capaian rasio peserta prolanis DM terkendali ditambah capaian rasio peserta prolanis HT terkendali dibagi 2                          
Catatan untuk kinerja Puskesmas:                                                                                                                                            ≥ 5%         = 100%;   
4 - &lt; 5%    = 75%    
3 - &lt; 4%    = 50%
2 - &lt; 3%    = 25%
&lt; 2%         = 0%</t>
  </si>
  <si>
    <t>Indikator untuk mengetahui optimalisasi penatalaksanaan prolanis oleh Puskesmas dalam menjaga kadar gula darah puasa bagi pasien diabetes tipe 2 (DM) atau tekanan darah bagi pasien HT. Penyakit kronis masuk Prolanis yaitu Diabetes Melitus dan Hipertensi.  Aktifitas Prolanis:                                                                                                                                           (1) Edukasi Klub                                                                                                                                                                        (2) Konsultasi Medis                                           
(3) Pemantauan Kesehatan melalui pemeriksaan penunjang                                                                                                    (4) Senam Prolanis                                               
(5) Home visit/kunjungan rumah                                                                                                                                              (6) Pelayanan Obat secara rutin (obat PRB)</t>
  </si>
  <si>
    <t>Ketercapaian Target Tahunan</t>
  </si>
  <si>
    <t>Analisa Akar Penyebab Masalah</t>
  </si>
  <si>
    <r>
      <t xml:space="preserve">2.1.2.3.Pembinaan Tempat Fasilitas Umum ( TFU ) </t>
    </r>
    <r>
      <rPr>
        <sz val="12"/>
        <rFont val="Tahoma"/>
        <family val="2"/>
      </rPr>
      <t> </t>
    </r>
  </si>
  <si>
    <t>Pembinaan sarana TFU Prioritas</t>
  </si>
  <si>
    <t xml:space="preserve">TFU Prioritas  yang memenuhi syarat kesehatan </t>
  </si>
  <si>
    <r>
      <rPr>
        <sz val="12"/>
        <rFont val="Calibri"/>
        <family val="2"/>
      </rPr>
      <t>≤</t>
    </r>
    <r>
      <rPr>
        <sz val="8.4"/>
        <rFont val="Tahoma"/>
        <family val="2"/>
      </rPr>
      <t xml:space="preserve"> </t>
    </r>
    <r>
      <rPr>
        <sz val="12"/>
        <rFont val="Tahoma"/>
        <family val="2"/>
      </rPr>
      <t>8%</t>
    </r>
  </si>
  <si>
    <r>
      <t xml:space="preserve"> </t>
    </r>
    <r>
      <rPr>
        <sz val="12"/>
        <rFont val="Calibri"/>
        <family val="2"/>
      </rPr>
      <t>≤</t>
    </r>
    <r>
      <rPr>
        <sz val="8.4"/>
        <rFont val="Tahoma"/>
        <family val="2"/>
      </rPr>
      <t xml:space="preserve"> </t>
    </r>
    <r>
      <rPr>
        <sz val="12"/>
        <rFont val="Tahoma"/>
        <family val="2"/>
      </rPr>
      <t>1%</t>
    </r>
  </si>
  <si>
    <r>
      <rPr>
        <sz val="12"/>
        <rFont val="Calibri"/>
        <family val="2"/>
      </rPr>
      <t>≤</t>
    </r>
    <r>
      <rPr>
        <sz val="8.4"/>
        <rFont val="Tahoma"/>
        <family val="2"/>
      </rPr>
      <t xml:space="preserve"> </t>
    </r>
    <r>
      <rPr>
        <sz val="12"/>
        <rFont val="Tahoma"/>
        <family val="2"/>
      </rPr>
      <t>2,6%</t>
    </r>
  </si>
  <si>
    <r>
      <rPr>
        <sz val="12"/>
        <rFont val="Calibri"/>
        <family val="2"/>
      </rPr>
      <t>≥</t>
    </r>
    <r>
      <rPr>
        <sz val="6.6"/>
        <rFont val="Tahoma"/>
        <family val="2"/>
      </rPr>
      <t xml:space="preserve"> </t>
    </r>
    <r>
      <rPr>
        <sz val="12"/>
        <rFont val="Tahoma"/>
        <family val="2"/>
      </rPr>
      <t>85%</t>
    </r>
  </si>
  <si>
    <r>
      <rPr>
        <sz val="12"/>
        <rFont val="Calibri"/>
        <family val="2"/>
      </rPr>
      <t>≥</t>
    </r>
    <r>
      <rPr>
        <sz val="11.15"/>
        <rFont val="Tahoma"/>
        <family val="2"/>
      </rPr>
      <t xml:space="preserve"> </t>
    </r>
    <r>
      <rPr>
        <sz val="12"/>
        <rFont val="Tahoma"/>
        <family val="2"/>
      </rPr>
      <t>76,61%</t>
    </r>
  </si>
  <si>
    <t>Tercapai</t>
  </si>
  <si>
    <t>belum tercapai</t>
  </si>
  <si>
    <t>Dilaksanakan sesuai jadwal</t>
  </si>
  <si>
    <t>Kelengkapan  alkes masih &lt;50 %</t>
  </si>
  <si>
    <t>melengkapi  dan  Updating data  Aplikasi Sarana, prasarana, alat  kesehatan (ASPAK)</t>
  </si>
  <si>
    <t>tercapai</t>
  </si>
  <si>
    <t>Belum tercapai</t>
  </si>
  <si>
    <t>kader</t>
  </si>
  <si>
    <t xml:space="preserve">Ketercapaian  Target  </t>
  </si>
  <si>
    <t>Belum Tercapai</t>
  </si>
  <si>
    <t>Bukan Ranap</t>
  </si>
  <si>
    <r>
      <t>2.1.4. Pelayanan Gizi</t>
    </r>
    <r>
      <rPr>
        <sz val="12"/>
        <color theme="1"/>
        <rFont val="Tahoma"/>
        <family val="2"/>
      </rPr>
      <t> </t>
    </r>
  </si>
  <si>
    <r>
      <t>2.1.4.2. Penanggulangan Gangguan Gizi</t>
    </r>
    <r>
      <rPr>
        <sz val="12"/>
        <color theme="1"/>
        <rFont val="Tahoma"/>
        <family val="2"/>
      </rPr>
      <t> </t>
    </r>
  </si>
  <si>
    <t>Masih dilakukan dua kali</t>
  </si>
  <si>
    <t>Tidak ada kasus malaria</t>
  </si>
  <si>
    <t>Tidak ada kasus Rabies</t>
  </si>
  <si>
    <t>Meningkatkan pendataan kasus</t>
  </si>
  <si>
    <t>Kerjasama dengan kader dalam melakukan kunjungan rumah di sore hari atau di hari yang lain</t>
  </si>
  <si>
    <t>Ada balita yang tidak hadir ke posyandu dikarenakan sakit, bepergian,sekolah</t>
  </si>
  <si>
    <t>Ada apras yang tidak hadir ke posyandu dikarenakan sakit,bepergian,sekolah</t>
  </si>
  <si>
    <t>Kerjasama dengan kader dalam melakukan kunjungan rumah dan kerjasanma dengan guru PAUD dalam penimbangan apras</t>
  </si>
  <si>
    <t>Sebagian pasien melakukan pengobatan di luar faskes</t>
  </si>
  <si>
    <t>melakukan kegiatan investigasi kontak</t>
  </si>
  <si>
    <t>Anak sulit makan dan ortu atau pengasuh anak kurang telaten dalam memberikan MP ASI</t>
  </si>
  <si>
    <t>Mengajari orang tua tentang PMBA /Pemberian makan bayi dan anak</t>
  </si>
  <si>
    <t>Kurangnya pencatatan pelaporan,mobilisasi sasaran,bayi sakit dan orang tua lupa jadwal posyandu</t>
  </si>
  <si>
    <t>menginformasikan jadwal posyandu melalui WAG atau ledang serta melakukan sweping imunisasi</t>
  </si>
  <si>
    <t>Kurangnya pencatatan dan pelaporan</t>
  </si>
  <si>
    <t>Dilakukan persentase oleh kabupaten</t>
  </si>
  <si>
    <t>Sasaran yang hadir di Posbindu rata rata orangnya sama</t>
  </si>
  <si>
    <t>Kerjasama dengan kader,jejaring,jaringan untuk meningkatkan pencatatan dan pelaporan</t>
  </si>
  <si>
    <t>Pemeriksaan profil lipid membutuhkan biaya</t>
  </si>
  <si>
    <t>Memberikan pengertian kepada masyarakat tentang pentingnya pemeriksaan profil lipid pada penderita HT dan DM</t>
  </si>
  <si>
    <t>Koordinasi dengan Dinkes dalam persentase peta resiko penyakit infeksi emerging</t>
  </si>
  <si>
    <t>Belum semua Tempat anak bermain dilakukan monitoring</t>
  </si>
  <si>
    <t>Melakukan monitoring pada tempat anak bermain</t>
  </si>
  <si>
    <t>Kurangnya kerjasama dengan jejaring dan jaringan dalam pencatatan dan pelaporan</t>
  </si>
  <si>
    <t>Meningkatkan kerjasama dengan kader, jejaring dan jaringan dalam peningkatan pencatatan dan pelaporan</t>
  </si>
  <si>
    <t>Tidak semua penderita DM,HT USIA &gt; 40 th di periksa EKG</t>
  </si>
  <si>
    <t>Melakukan pemeriksaan EKG pada penderita DM,HT Usia &gt;40th</t>
  </si>
  <si>
    <t>Tidak semua penderita PPOK USIA &gt; 40 th di periksa Kuesioner PUMA</t>
  </si>
  <si>
    <t>Melakukan pemeriksaan Kuesioner PUMA pada penderita PPOK Usia &gt;40th</t>
  </si>
  <si>
    <t>sosialisasi pentingnya IVA</t>
  </si>
  <si>
    <t>Masih banyak WUS yg blm melakukan deteksi dini Kanker  payudara</t>
  </si>
  <si>
    <t>Masih banyak WUS yg blm melakukan deteksi dini Kanker leher rahim</t>
  </si>
  <si>
    <t>sosialisasi pentingnya SADARI</t>
  </si>
  <si>
    <t>Tidak ditemukan kasus pasung</t>
  </si>
  <si>
    <t>Lebih aktif untuk penemuan kasus pasung dan kerjasama linsek</t>
  </si>
  <si>
    <t>Belum semua dilakukan screning jiwa</t>
  </si>
  <si>
    <t xml:space="preserve">Dilakukan screning pada tribulan selanjutnya </t>
  </si>
  <si>
    <t>Tidak ada panti sehat</t>
  </si>
  <si>
    <t>Kerjasama dengan lintas program</t>
  </si>
  <si>
    <t>Kerjasama dg jejaring dan jaringan dalam meningkatkan pencatatan dan pelaporan</t>
  </si>
  <si>
    <t>INSTRUMEN PENGHITUNGAN KINERJA UPAYA KESEHATAN PERSEORANGAN PUSKESMAS PLUMBON GAMBANG GUDO</t>
  </si>
  <si>
    <t>INSTRUMEN PENGHITUNGAN KINERJA UKM ESENSIAL DAN PERKESMAS PUSKESMAS PLUMBON GAMBANG GUDO TAHUN 2023</t>
  </si>
  <si>
    <t>PUSKESMAS PLUMBON GAMBANG</t>
  </si>
  <si>
    <t>INSTRUMEN PENGHITUNGAN KINERJA MUTU PUSKESMAS PLUMBON GAMBANG GUDO</t>
  </si>
  <si>
    <t>Instrumen Penghitungan Kinerja UKM Pengembangan Puskesmas Plumbon Gambang Gudo tahun 2023</t>
  </si>
  <si>
    <t>Kegiatan dilakukan di Bulan Agustus</t>
  </si>
  <si>
    <t>Masih ada ibu hamil yang periksa di luar wilayah dan belum tercatat di kohort ibu</t>
  </si>
  <si>
    <t>Peningkatan pendataan sasaran KIA, sweeping ibu hamil</t>
  </si>
  <si>
    <t>Masih ada ibu hamil yang melakukan persalinan di luar wilayah dan belum tercatat di kohort ibu</t>
  </si>
  <si>
    <t>Peningkatan pendataan sasaran KIA, sweeping ibu nifas</t>
  </si>
  <si>
    <t>Masih ada ibu hamil yang melahirkan di luar wilker pkm</t>
  </si>
  <si>
    <t>Sweeping neonatus</t>
  </si>
  <si>
    <t>Sweeping neonatus dengan komplikasi</t>
  </si>
  <si>
    <t xml:space="preserve">Jumlah neonatus yang ada jarang mengalami komplikasi </t>
  </si>
  <si>
    <t>Semua pelayanan kesehatan pada usia dasar dilaksanakan dalam satuan pendidikan dasar</t>
  </si>
  <si>
    <t>Minimnya laporan dan pencatatan temuan kasus diare di lingkup wilker puskesmas</t>
  </si>
  <si>
    <t>Kerjasama dengan lintas progran dan jejaring puskesmas</t>
  </si>
  <si>
    <t>Skreening balita dengan gangguan pernapasan</t>
  </si>
  <si>
    <t>Kasus pneumonia jarang ditemukan di PKM</t>
  </si>
  <si>
    <t>Skreening kasus DM</t>
  </si>
  <si>
    <t>Usia produktif belum semuanya diskreening detdin DM</t>
  </si>
  <si>
    <t>Kurangnya kepatuhan petugas dalam mendokumentasikan skrining pasien risiko jatuh</t>
  </si>
  <si>
    <t>Mengingatkan petugas untuk selalu mendokumentasikan skrining pasien risiko jatuh</t>
  </si>
  <si>
    <t>Instrumen Penghitungan  Kinerja  Administrasi dan Manajemen  Puskesmas Plumbon Gambang Gudo Tahun 2023</t>
  </si>
  <si>
    <t>REKAP KINERJA PUSKESMAS PLUMBON GAMBANG GUDO KABUPATEN/KOTA JOMBANG TAHUN 2023</t>
  </si>
  <si>
    <t>Tridak ada ponpes di wilker PKM</t>
  </si>
  <si>
    <t>Pencegahan dan Penanggulangan Hepatitis B pada Ibu Hamil</t>
  </si>
  <si>
    <t>Terapi yang diberikan ditujukan untuk lebih dari 1 diagnosis, sehingga jumlah obat dalam 1 resep rata-rata di atas 2 atau 3 item</t>
  </si>
  <si>
    <t>Sosialisasi kepada pemberi terapi untuk meresepkan obat hanya untuk keluhan utama yang dialami pasien</t>
  </si>
  <si>
    <t xml:space="preserve">Masih ditemukan lembar yang belum terisi secara lengkap yaitu penulisan ttd petugas medis dan penulisan "pasien pulang" dilembar SOAP, serta Pengisisan lembar pengkajian awal pasien </t>
  </si>
  <si>
    <t>Mengembalikan dokumen rekam medis ke poli untuk dilengkapi kembali oleh petugas poli</t>
  </si>
  <si>
    <t>Persyaratan untuk STBM 5 pilar banyak</t>
  </si>
  <si>
    <t xml:space="preserve">Dilakukan pemicuan tahun depan dan sosialisasi </t>
  </si>
  <si>
    <t>Kerjasama dengan lintas program untuk peningkatan pelayanan di sekolah dan posyandu remaja</t>
  </si>
  <si>
    <t>Pelayanan KRR belum optimal, sebagian remaja  belum mengikuti pemeriksaan baik di posyandu remaja maupun di sekolah</t>
  </si>
  <si>
    <t>Dokumen kepegawaian dan dokumen peningkatan kompetensi belum di analisa, RTL, TL, dan evaluasi</t>
  </si>
  <si>
    <t>Dokumen kepegawaian dan dokumen peningkatan kompetensi dilakukan  analisa, RTL, TL, dan evaluasi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</si>
</sst>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0.0"/>
    <numFmt numFmtId="166" formatCode="0.000"/>
    <numFmt numFmtId="167" formatCode="0.0%"/>
  </numFmts>
  <fonts count="65" x14ac:knownFonts="1">
    <font>
      <sz val="11"/>
      <color theme="1"/>
      <name val="Calibri"/>
      <family val="2"/>
      <scheme val="minor"/>
    </font>
    <font>
      <sz val="11"/>
      <color theme="1"/>
      <name val="Calibri"/>
      <family val="2"/>
      <charset val="1"/>
      <scheme val="minor"/>
    </font>
    <font>
      <sz val="11"/>
      <color theme="1"/>
      <name val="Calibri"/>
      <family val="2"/>
      <charset val="1"/>
      <scheme val="minor"/>
    </font>
    <font>
      <sz val="10"/>
      <color rgb="FF000000"/>
      <name val="Times New Roman"/>
      <family val="1"/>
    </font>
    <font>
      <b/>
      <u/>
      <sz val="10"/>
      <color rgb="FF000000"/>
      <name val="Times New Roman"/>
      <family val="1"/>
    </font>
    <font>
      <sz val="12"/>
      <color theme="1"/>
      <name val="Tahoma"/>
      <family val="2"/>
    </font>
    <font>
      <sz val="12"/>
      <name val="Tahoma"/>
      <family val="2"/>
    </font>
    <font>
      <b/>
      <sz val="12"/>
      <name val="Tahoma"/>
      <family val="2"/>
    </font>
    <font>
      <b/>
      <sz val="12"/>
      <color theme="1"/>
      <name val="Tahoma"/>
      <family val="2"/>
    </font>
    <font>
      <u/>
      <sz val="12"/>
      <name val="Tahoma"/>
      <family val="2"/>
    </font>
    <font>
      <i/>
      <sz val="12"/>
      <name val="Tahoma"/>
      <family val="2"/>
    </font>
    <font>
      <sz val="12"/>
      <name val="Calibri"/>
      <family val="2"/>
    </font>
    <font>
      <sz val="11"/>
      <color indexed="8"/>
      <name val="Calibri"/>
      <family val="2"/>
    </font>
    <font>
      <sz val="12"/>
      <name val="Times New Roman"/>
      <family val="1"/>
    </font>
    <font>
      <b/>
      <sz val="12"/>
      <color rgb="FF000000"/>
      <name val="Tahoma"/>
      <family val="2"/>
    </font>
    <font>
      <sz val="12"/>
      <color rgb="FF000000"/>
      <name val="Tahoma"/>
      <family val="2"/>
    </font>
    <font>
      <i/>
      <sz val="12"/>
      <color rgb="FF000000"/>
      <name val="Tahoma"/>
      <family val="2"/>
    </font>
    <font>
      <u/>
      <sz val="12"/>
      <color rgb="FF000000"/>
      <name val="Tahoma"/>
      <family val="2"/>
    </font>
    <font>
      <i/>
      <sz val="12"/>
      <color theme="1"/>
      <name val="Tahoma"/>
      <family val="2"/>
    </font>
    <font>
      <strike/>
      <sz val="12"/>
      <color theme="1"/>
      <name val="Tahoma"/>
      <family val="2"/>
    </font>
    <font>
      <sz val="11"/>
      <color indexed="8"/>
      <name val="Calibri"/>
      <family val="2"/>
    </font>
    <font>
      <sz val="12"/>
      <name val="Times New Roman"/>
      <family val="1"/>
    </font>
    <font>
      <u/>
      <sz val="12"/>
      <color rgb="FF000000"/>
      <name val="Times New Roman"/>
      <family val="1"/>
    </font>
    <font>
      <sz val="12"/>
      <color rgb="FFFF0000"/>
      <name val="Tahoma"/>
      <family val="2"/>
    </font>
    <font>
      <b/>
      <sz val="14"/>
      <color theme="1"/>
      <name val="Times New Roman"/>
      <family val="1"/>
    </font>
    <font>
      <sz val="10"/>
      <color theme="1"/>
      <name val="Tahoma"/>
      <family val="2"/>
    </font>
    <font>
      <b/>
      <sz val="11"/>
      <color theme="1"/>
      <name val="Tahoma"/>
      <family val="2"/>
    </font>
    <font>
      <sz val="11"/>
      <color theme="1"/>
      <name val="Tahoma"/>
      <family val="2"/>
    </font>
    <font>
      <sz val="14"/>
      <color theme="1"/>
      <name val="Tahoma"/>
      <family val="2"/>
    </font>
    <font>
      <sz val="14"/>
      <color rgb="FF000000"/>
      <name val="Tahoma"/>
      <family val="2"/>
    </font>
    <font>
      <u/>
      <sz val="14"/>
      <color theme="1"/>
      <name val="Tahoma"/>
      <family val="2"/>
    </font>
    <font>
      <sz val="10"/>
      <color rgb="FF000000"/>
      <name val="Tahoma"/>
      <family val="2"/>
    </font>
    <font>
      <sz val="12"/>
      <name val="Arial"/>
      <family val="2"/>
    </font>
    <font>
      <sz val="12"/>
      <color theme="1"/>
      <name val="Calibri"/>
      <family val="2"/>
    </font>
    <font>
      <sz val="12"/>
      <color theme="1"/>
      <name val="Calibri"/>
      <family val="2"/>
      <scheme val="minor"/>
    </font>
    <font>
      <sz val="12"/>
      <color theme="1"/>
      <name val="Arial"/>
      <family val="2"/>
    </font>
    <font>
      <b/>
      <sz val="11"/>
      <color theme="1"/>
      <name val="Calibri"/>
      <family val="2"/>
      <scheme val="minor"/>
    </font>
    <font>
      <sz val="11"/>
      <name val="Calibri"/>
      <family val="2"/>
      <scheme val="minor"/>
    </font>
    <font>
      <sz val="14"/>
      <color theme="1"/>
      <name val="Calibri"/>
      <family val="2"/>
      <scheme val="minor"/>
    </font>
    <font>
      <sz val="8"/>
      <name val="Calibri"/>
      <family val="2"/>
      <scheme val="minor"/>
    </font>
    <font>
      <sz val="8.4"/>
      <name val="Tahoma"/>
      <family val="2"/>
    </font>
    <font>
      <sz val="6.6"/>
      <name val="Tahoma"/>
      <family val="2"/>
    </font>
    <font>
      <sz val="11.15"/>
      <name val="Tahoma"/>
      <family val="2"/>
    </font>
    <font>
      <sz val="14"/>
      <name val="Arial"/>
      <family val="2"/>
    </font>
    <font>
      <sz val="11"/>
      <color rgb="FFFF0000"/>
      <name val="Calibri"/>
      <family val="2"/>
      <scheme val="minor"/>
    </font>
    <font>
      <sz val="11"/>
      <name val="Tahoma"/>
      <family val="2"/>
    </font>
    <font>
      <sz val="11"/>
      <color theme="1"/>
      <name val="Calibri"/>
      <family val="2"/>
      <scheme val="minor"/>
    </font>
    <font>
      <sz val="11"/>
      <color theme="1"/>
      <name val="Calibri"/>
      <family val="2"/>
    </font>
    <font>
      <sz val="12"/>
      <color theme="1"/>
      <name val="Tahoma"/>
      <family val="2"/>
    </font>
    <font>
      <sz val="11"/>
      <color theme="1"/>
      <name val="Calibri"/>
      <family val="2"/>
    </font>
    <font>
      <sz val="11"/>
      <color rgb="FF000000"/>
      <name val="Tahoma"/>
      <family val="2"/>
    </font>
    <font>
      <b/>
      <sz val="12"/>
      <color rgb="FF000000"/>
      <name val="Tahoma"/>
      <family val="2"/>
    </font>
    <font>
      <sz val="11"/>
      <color theme="1"/>
      <name val="Calibri"/>
      <family val="2"/>
      <scheme val="minor"/>
    </font>
    <font>
      <sz val="11"/>
      <color rgb="FF000000"/>
      <name val="Calibri"/>
      <family val="2"/>
    </font>
    <font>
      <sz val="11"/>
      <color rgb="FF000000"/>
      <name val="Arial"/>
      <family val="2"/>
    </font>
    <font>
      <sz val="12"/>
      <color rgb="FF000000"/>
      <name val="Tahoma"/>
      <family val="2"/>
    </font>
    <font>
      <sz val="11"/>
      <name val="Calibri"/>
      <family val="2"/>
    </font>
    <font>
      <b/>
      <sz val="12"/>
      <color rgb="FF000000"/>
      <name val="Arial"/>
      <family val="2"/>
    </font>
    <font>
      <sz val="12"/>
      <color rgb="FF000000"/>
      <name val="Arial"/>
      <family val="2"/>
    </font>
    <font>
      <sz val="12"/>
      <color theme="1"/>
      <name val="Arial"/>
      <family val="2"/>
    </font>
    <font>
      <sz val="11"/>
      <name val="Calibri"/>
      <family val="2"/>
    </font>
    <font>
      <sz val="11"/>
      <color theme="1"/>
      <name val="Calibri"/>
      <family val="2"/>
      <scheme val="minor"/>
    </font>
    <font>
      <sz val="12"/>
      <color rgb="FF000000"/>
      <name val="Tahoma"/>
    </font>
    <font>
      <sz val="12"/>
      <color theme="1"/>
      <name val="Tahoma"/>
      <charset val="134"/>
    </font>
    <font>
      <sz val="12"/>
      <color rgb="FF000000"/>
      <name val="Tahoma"/>
      <charset val="134"/>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bgColor theme="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s>
  <cellStyleXfs count="217">
    <xf numFmtId="0" fontId="0"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12" fillId="0" borderId="0">
      <alignment vertical="center"/>
    </xf>
    <xf numFmtId="164" fontId="13" fillId="0" borderId="0" applyFont="0" applyFill="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164" fontId="13" fillId="0" borderId="0" applyFont="0" applyFill="0" applyBorder="0" applyAlignment="0" applyProtection="0">
      <alignment vertical="center"/>
    </xf>
    <xf numFmtId="9" fontId="12" fillId="0" borderId="0" applyFont="0" applyFill="0" applyBorder="0" applyAlignment="0" applyProtection="0">
      <alignment vertical="center"/>
    </xf>
    <xf numFmtId="0" fontId="20" fillId="0" borderId="0">
      <alignment vertical="center"/>
    </xf>
    <xf numFmtId="164" fontId="21" fillId="0" borderId="0" applyFont="0" applyFill="0" applyBorder="0" applyAlignment="0" applyProtection="0">
      <alignment vertical="center"/>
    </xf>
    <xf numFmtId="9" fontId="20" fillId="0" borderId="0" applyFont="0" applyFill="0" applyBorder="0" applyAlignment="0" applyProtection="0">
      <alignment vertical="center"/>
    </xf>
    <xf numFmtId="0" fontId="13" fillId="0" borderId="0">
      <alignment vertical="center"/>
    </xf>
    <xf numFmtId="0" fontId="12" fillId="0" borderId="0">
      <alignment vertical="center"/>
    </xf>
    <xf numFmtId="164" fontId="13" fillId="0" borderId="0" applyFont="0" applyFill="0" applyBorder="0" applyAlignment="0" applyProtection="0">
      <alignment vertical="center"/>
    </xf>
    <xf numFmtId="9" fontId="12" fillId="0" borderId="0" applyFont="0" applyFill="0" applyBorder="0" applyAlignment="0" applyProtection="0">
      <alignment vertical="center"/>
    </xf>
    <xf numFmtId="0" fontId="37" fillId="0" borderId="0"/>
    <xf numFmtId="0" fontId="1" fillId="0" borderId="0"/>
    <xf numFmtId="9" fontId="1" fillId="0" borderId="0" applyFont="0" applyFill="0" applyBorder="0" applyAlignment="0" applyProtection="0"/>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56" fillId="0" borderId="0">
      <alignment vertical="center"/>
    </xf>
    <xf numFmtId="0" fontId="53" fillId="0" borderId="0">
      <protection locked="0"/>
    </xf>
    <xf numFmtId="9" fontId="53" fillId="0" borderId="0">
      <alignment vertical="top"/>
      <protection locked="0"/>
    </xf>
    <xf numFmtId="0" fontId="12" fillId="0" borderId="0">
      <protection locked="0"/>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37" fillId="0" borderId="0"/>
    <xf numFmtId="0" fontId="12" fillId="0" borderId="0">
      <protection locked="0"/>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56" fillId="0" borderId="0">
      <protection locked="0"/>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3" fontId="46" fillId="0" borderId="0" applyFont="0" applyFill="0" applyBorder="0" applyAlignment="0" applyProtection="0"/>
    <xf numFmtId="43" fontId="46" fillId="0" borderId="0" applyFont="0" applyFill="0" applyBorder="0" applyAlignment="0" applyProtection="0"/>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3" fontId="46" fillId="0" borderId="0" applyFont="0" applyFill="0" applyBorder="0" applyAlignment="0" applyProtection="0"/>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3" fontId="46" fillId="0" borderId="0" applyFont="0" applyFill="0" applyBorder="0" applyAlignment="0" applyProtection="0"/>
    <xf numFmtId="43" fontId="46" fillId="0" borderId="0" applyFont="0" applyFill="0" applyBorder="0" applyAlignment="0" applyProtection="0"/>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3" fontId="46" fillId="0" borderId="0" applyFont="0" applyFill="0" applyBorder="0" applyAlignment="0" applyProtection="0"/>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37" fillId="0" borderId="0"/>
    <xf numFmtId="0" fontId="1" fillId="0" borderId="0"/>
    <xf numFmtId="9" fontId="1" fillId="0" borderId="0" applyFont="0" applyFill="0" applyBorder="0" applyAlignment="0" applyProtection="0"/>
    <xf numFmtId="41" fontId="1"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52" fillId="0" borderId="0"/>
    <xf numFmtId="0" fontId="60" fillId="0" borderId="0">
      <alignment vertical="center"/>
    </xf>
    <xf numFmtId="0" fontId="61" fillId="0" borderId="0"/>
    <xf numFmtId="41" fontId="46" fillId="0" borderId="0" applyFont="0" applyFill="0" applyBorder="0" applyAlignment="0" applyProtection="0"/>
    <xf numFmtId="9" fontId="61" fillId="0" borderId="0" applyFont="0" applyFill="0" applyBorder="0" applyAlignment="0" applyProtection="0"/>
  </cellStyleXfs>
  <cellXfs count="485">
    <xf numFmtId="0" fontId="0" fillId="0" borderId="0" xfId="0"/>
    <xf numFmtId="0" fontId="2" fillId="0" borderId="0" xfId="1"/>
    <xf numFmtId="0" fontId="6" fillId="0" borderId="1" xfId="1" applyFont="1" applyBorder="1" applyAlignment="1">
      <alignment horizontal="center" vertical="top"/>
    </xf>
    <xf numFmtId="0" fontId="6" fillId="0" borderId="1" xfId="1" applyFont="1" applyBorder="1" applyAlignment="1">
      <alignment vertical="top" wrapText="1"/>
    </xf>
    <xf numFmtId="0" fontId="6" fillId="0" borderId="1" xfId="1" applyFont="1" applyBorder="1" applyAlignment="1">
      <alignment horizontal="left" vertical="top" wrapText="1"/>
    </xf>
    <xf numFmtId="0" fontId="5" fillId="0" borderId="1" xfId="1" applyFont="1" applyBorder="1" applyAlignment="1">
      <alignment vertical="top" wrapText="1"/>
    </xf>
    <xf numFmtId="0" fontId="5" fillId="0" borderId="1" xfId="1" applyFont="1" applyBorder="1" applyAlignment="1">
      <alignment horizontal="left" vertical="top" wrapText="1"/>
    </xf>
    <xf numFmtId="0" fontId="15" fillId="0" borderId="1" xfId="1" quotePrefix="1" applyFont="1" applyBorder="1" applyAlignment="1">
      <alignment horizontal="center" vertical="center" wrapText="1"/>
    </xf>
    <xf numFmtId="0" fontId="15" fillId="0" borderId="0" xfId="1" applyFont="1" applyAlignment="1">
      <alignment vertical="top" wrapText="1"/>
    </xf>
    <xf numFmtId="0" fontId="14" fillId="0" borderId="3" xfId="1" applyFont="1" applyBorder="1" applyAlignment="1">
      <alignment vertical="center"/>
    </xf>
    <xf numFmtId="0" fontId="14" fillId="0" borderId="5" xfId="1" applyFont="1" applyBorder="1" applyAlignment="1">
      <alignment vertical="center"/>
    </xf>
    <xf numFmtId="0" fontId="15" fillId="0" borderId="1" xfId="1" applyFont="1" applyBorder="1" applyAlignment="1">
      <alignment horizontal="left" vertical="center" wrapText="1"/>
    </xf>
    <xf numFmtId="0" fontId="15" fillId="0" borderId="1" xfId="1" applyFont="1" applyBorder="1" applyAlignment="1">
      <alignment horizontal="center" vertical="center" wrapText="1"/>
    </xf>
    <xf numFmtId="0" fontId="15" fillId="0" borderId="1" xfId="1" applyFont="1" applyBorder="1" applyAlignment="1">
      <alignment vertical="center" wrapText="1"/>
    </xf>
    <xf numFmtId="0" fontId="15" fillId="0" borderId="1" xfId="1" applyFont="1" applyBorder="1" applyAlignment="1">
      <alignment vertical="top" wrapText="1"/>
    </xf>
    <xf numFmtId="0" fontId="15" fillId="0" borderId="1" xfId="1" applyFont="1" applyBorder="1" applyAlignment="1">
      <alignment horizontal="left" vertical="top" wrapText="1"/>
    </xf>
    <xf numFmtId="0" fontId="15" fillId="0" borderId="1" xfId="1" applyFont="1" applyBorder="1" applyAlignment="1">
      <alignment horizontal="center" vertical="top" wrapText="1"/>
    </xf>
    <xf numFmtId="0" fontId="15" fillId="0" borderId="1" xfId="1" applyFont="1" applyBorder="1" applyAlignment="1">
      <alignment horizontal="center" vertical="top"/>
    </xf>
    <xf numFmtId="0" fontId="15" fillId="0" borderId="3" xfId="1" applyFont="1" applyBorder="1" applyAlignment="1">
      <alignment horizontal="center" vertical="top" wrapText="1"/>
    </xf>
    <xf numFmtId="0" fontId="5" fillId="0" borderId="1" xfId="1" applyFont="1" applyBorder="1" applyAlignment="1">
      <alignment horizontal="center" vertical="top"/>
    </xf>
    <xf numFmtId="0" fontId="5" fillId="0" borderId="1" xfId="1" applyFont="1" applyBorder="1" applyAlignment="1">
      <alignment vertical="center"/>
    </xf>
    <xf numFmtId="0" fontId="5" fillId="0" borderId="1" xfId="1" applyFont="1" applyBorder="1" applyAlignment="1">
      <alignment horizontal="center" vertical="center"/>
    </xf>
    <xf numFmtId="0" fontId="8" fillId="0" borderId="0" xfId="1" applyFont="1" applyAlignment="1">
      <alignment horizontal="right" wrapText="1"/>
    </xf>
    <xf numFmtId="0" fontId="15" fillId="0" borderId="4" xfId="1" applyFont="1" applyBorder="1" applyAlignment="1">
      <alignment horizontal="left" vertical="top" wrapText="1"/>
    </xf>
    <xf numFmtId="0" fontId="0" fillId="0" borderId="1" xfId="0" applyBorder="1"/>
    <xf numFmtId="0" fontId="23" fillId="0" borderId="2" xfId="1" applyFont="1" applyBorder="1" applyAlignment="1">
      <alignment vertical="top"/>
    </xf>
    <xf numFmtId="0" fontId="15" fillId="0" borderId="1" xfId="1" applyFont="1" applyBorder="1" applyAlignment="1">
      <alignment horizontal="left" vertical="top"/>
    </xf>
    <xf numFmtId="0" fontId="15" fillId="0" borderId="1" xfId="1" applyFont="1" applyBorder="1" applyAlignment="1">
      <alignment vertical="top"/>
    </xf>
    <xf numFmtId="0" fontId="14" fillId="0" borderId="1" xfId="1" applyFont="1" applyBorder="1" applyAlignment="1">
      <alignment horizontal="left" vertical="top"/>
    </xf>
    <xf numFmtId="0" fontId="0" fillId="0" borderId="0" xfId="0" applyAlignment="1">
      <alignment horizontal="center"/>
    </xf>
    <xf numFmtId="0" fontId="0" fillId="0" borderId="1" xfId="0" applyBorder="1" applyAlignment="1">
      <alignment horizontal="center"/>
    </xf>
    <xf numFmtId="0" fontId="14" fillId="0" borderId="3" xfId="1" applyFont="1" applyBorder="1" applyAlignment="1">
      <alignment vertical="top"/>
    </xf>
    <xf numFmtId="0" fontId="14" fillId="0" borderId="4" xfId="1" applyFont="1" applyBorder="1" applyAlignment="1">
      <alignment vertical="top"/>
    </xf>
    <xf numFmtId="0" fontId="14" fillId="0" borderId="5" xfId="1" applyFont="1" applyBorder="1" applyAlignment="1">
      <alignment vertical="top"/>
    </xf>
    <xf numFmtId="0" fontId="6" fillId="0" borderId="0" xfId="1" applyFont="1"/>
    <xf numFmtId="0" fontId="6" fillId="0" borderId="1" xfId="1" quotePrefix="1" applyFont="1" applyBorder="1" applyAlignment="1">
      <alignment horizontal="center" vertical="center" wrapText="1"/>
    </xf>
    <xf numFmtId="0" fontId="6" fillId="0" borderId="1" xfId="1" applyFont="1" applyBorder="1" applyAlignment="1">
      <alignment vertical="top"/>
    </xf>
    <xf numFmtId="0" fontId="6" fillId="0" borderId="1" xfId="1" applyFont="1" applyBorder="1" applyAlignment="1">
      <alignment horizontal="center" vertical="center"/>
    </xf>
    <xf numFmtId="0" fontId="6" fillId="0" borderId="1" xfId="1" applyFont="1" applyBorder="1" applyAlignment="1">
      <alignment vertical="center" wrapText="1"/>
    </xf>
    <xf numFmtId="0" fontId="7" fillId="0" borderId="1" xfId="1" applyFont="1" applyBorder="1" applyAlignment="1">
      <alignment horizontal="left" vertical="top"/>
    </xf>
    <xf numFmtId="0" fontId="7" fillId="0" borderId="3" xfId="1" applyFont="1" applyBorder="1" applyAlignment="1">
      <alignment vertical="top"/>
    </xf>
    <xf numFmtId="0" fontId="7" fillId="0" borderId="4" xfId="1" applyFont="1" applyBorder="1" applyAlignment="1">
      <alignment vertical="top"/>
    </xf>
    <xf numFmtId="0" fontId="7" fillId="0" borderId="5" xfId="1" applyFont="1" applyBorder="1" applyAlignment="1">
      <alignment vertical="top"/>
    </xf>
    <xf numFmtId="0" fontId="6" fillId="0" borderId="1" xfId="1" applyFont="1" applyBorder="1" applyAlignment="1">
      <alignment horizontal="center" vertical="top" wrapText="1"/>
    </xf>
    <xf numFmtId="9" fontId="6" fillId="0" borderId="1" xfId="1" applyNumberFormat="1" applyFont="1" applyBorder="1" applyAlignment="1">
      <alignment horizontal="center" vertical="top" wrapText="1"/>
    </xf>
    <xf numFmtId="0" fontId="6" fillId="0" borderId="1" xfId="1" applyFont="1" applyBorder="1" applyAlignment="1">
      <alignment horizontal="center" vertical="center" wrapText="1"/>
    </xf>
    <xf numFmtId="0" fontId="7" fillId="0" borderId="1" xfId="1" applyFont="1" applyBorder="1" applyAlignment="1">
      <alignment vertical="top" wrapText="1"/>
    </xf>
    <xf numFmtId="0" fontId="7" fillId="0" borderId="1" xfId="1" applyFont="1" applyBorder="1" applyAlignment="1">
      <alignment vertical="center"/>
    </xf>
    <xf numFmtId="0" fontId="5" fillId="0" borderId="1" xfId="1" applyFont="1" applyBorder="1" applyAlignment="1">
      <alignment horizontal="center" vertical="top" wrapText="1"/>
    </xf>
    <xf numFmtId="0" fontId="5" fillId="0" borderId="1" xfId="1" applyFont="1" applyBorder="1" applyAlignment="1">
      <alignment horizontal="center" vertical="center" wrapText="1"/>
    </xf>
    <xf numFmtId="0" fontId="27" fillId="0" borderId="1" xfId="1" applyFont="1" applyBorder="1" applyAlignment="1">
      <alignment horizontal="center"/>
    </xf>
    <xf numFmtId="0" fontId="28" fillId="0" borderId="0" xfId="1" applyFont="1"/>
    <xf numFmtId="0" fontId="27" fillId="0" borderId="1" xfId="1" applyFont="1" applyBorder="1" applyAlignment="1">
      <alignment wrapText="1"/>
    </xf>
    <xf numFmtId="0" fontId="15" fillId="0" borderId="4" xfId="1" applyFont="1" applyBorder="1" applyAlignment="1">
      <alignment horizontal="justify" vertical="center"/>
    </xf>
    <xf numFmtId="0" fontId="27" fillId="0" borderId="4" xfId="1" applyFont="1" applyBorder="1"/>
    <xf numFmtId="0" fontId="25" fillId="0" borderId="8" xfId="1" applyFont="1" applyBorder="1" applyAlignment="1">
      <alignment horizontal="center" vertical="center"/>
    </xf>
    <xf numFmtId="0" fontId="31" fillId="0" borderId="8" xfId="1" applyFont="1" applyBorder="1" applyAlignment="1">
      <alignment horizontal="center" vertical="center"/>
    </xf>
    <xf numFmtId="0" fontId="15" fillId="0" borderId="4" xfId="1" applyFont="1" applyBorder="1" applyAlignment="1">
      <alignment horizontal="left" vertical="center"/>
    </xf>
    <xf numFmtId="0" fontId="31" fillId="0" borderId="4" xfId="1" applyFont="1" applyBorder="1" applyAlignment="1">
      <alignment horizontal="center" vertical="center"/>
    </xf>
    <xf numFmtId="0" fontId="15" fillId="0" borderId="4" xfId="1" applyFont="1" applyBorder="1" applyAlignment="1">
      <alignment vertical="center"/>
    </xf>
    <xf numFmtId="16" fontId="27" fillId="0" borderId="1" xfId="1" quotePrefix="1" applyNumberFormat="1" applyFont="1" applyBorder="1" applyAlignment="1">
      <alignment horizontal="center"/>
    </xf>
    <xf numFmtId="0" fontId="15" fillId="0" borderId="1" xfId="1" applyFont="1" applyBorder="1" applyAlignment="1">
      <alignment horizontal="left" vertical="center"/>
    </xf>
    <xf numFmtId="0" fontId="27" fillId="0" borderId="1" xfId="1" applyFont="1" applyBorder="1"/>
    <xf numFmtId="0" fontId="27" fillId="0" borderId="3" xfId="1" applyFont="1" applyBorder="1"/>
    <xf numFmtId="0" fontId="7" fillId="0" borderId="1" xfId="1" applyFont="1" applyBorder="1" applyAlignment="1">
      <alignment horizontal="center" vertical="top"/>
    </xf>
    <xf numFmtId="0" fontId="15" fillId="0" borderId="4" xfId="1" applyFont="1" applyBorder="1" applyAlignment="1">
      <alignment horizontal="center" vertical="center"/>
    </xf>
    <xf numFmtId="0" fontId="7" fillId="0" borderId="1" xfId="1" applyFont="1" applyBorder="1" applyAlignment="1">
      <alignment horizontal="center" vertical="center"/>
    </xf>
    <xf numFmtId="0" fontId="7" fillId="0" borderId="1" xfId="1" applyFont="1" applyBorder="1" applyAlignment="1">
      <alignment vertical="top"/>
    </xf>
    <xf numFmtId="21" fontId="8" fillId="0" borderId="1" xfId="1" quotePrefix="1" applyNumberFormat="1" applyFont="1" applyBorder="1" applyAlignment="1">
      <alignment horizontal="left" vertical="top"/>
    </xf>
    <xf numFmtId="0" fontId="8" fillId="0" borderId="1" xfId="1" applyFont="1" applyBorder="1" applyAlignment="1">
      <alignment vertical="top"/>
    </xf>
    <xf numFmtId="0" fontId="2" fillId="0" borderId="0" xfId="1" applyAlignment="1">
      <alignment horizontal="center"/>
    </xf>
    <xf numFmtId="0" fontId="28" fillId="0" borderId="0" xfId="1" applyFont="1" applyAlignment="1">
      <alignment horizontal="center"/>
    </xf>
    <xf numFmtId="0" fontId="27" fillId="0" borderId="8" xfId="1" applyFont="1" applyBorder="1" applyAlignment="1">
      <alignment horizontal="center"/>
    </xf>
    <xf numFmtId="0" fontId="27" fillId="0" borderId="4" xfId="1" applyFont="1" applyBorder="1" applyAlignment="1">
      <alignment horizontal="center"/>
    </xf>
    <xf numFmtId="0" fontId="7" fillId="0" borderId="0" xfId="1" applyFont="1" applyAlignment="1">
      <alignment vertical="top" wrapText="1"/>
    </xf>
    <xf numFmtId="0" fontId="25" fillId="0" borderId="0" xfId="1" applyFont="1" applyAlignment="1">
      <alignment horizontal="left" vertical="top" wrapText="1"/>
    </xf>
    <xf numFmtId="0" fontId="8" fillId="0" borderId="0" xfId="1" applyFont="1" applyAlignment="1">
      <alignment vertical="center" wrapText="1"/>
    </xf>
    <xf numFmtId="0" fontId="14" fillId="0" borderId="0" xfId="1" applyFont="1" applyAlignment="1">
      <alignment vertical="top"/>
    </xf>
    <xf numFmtId="0" fontId="28" fillId="0" borderId="0" xfId="1" applyFont="1" applyAlignment="1">
      <alignment vertical="center"/>
    </xf>
    <xf numFmtId="9" fontId="25" fillId="0" borderId="0" xfId="1" applyNumberFormat="1" applyFont="1" applyAlignment="1">
      <alignment vertical="top" wrapText="1"/>
    </xf>
    <xf numFmtId="0" fontId="28" fillId="0" borderId="0" xfId="1" applyFont="1" applyAlignment="1">
      <alignment horizontal="center" vertical="center"/>
    </xf>
    <xf numFmtId="0" fontId="29" fillId="0" borderId="0" xfId="1" applyFont="1" applyAlignment="1">
      <alignment horizontal="justify" vertical="center"/>
    </xf>
    <xf numFmtId="0" fontId="28" fillId="0" borderId="0" xfId="1" applyFont="1" applyAlignment="1">
      <alignment horizontal="center" vertical="center" wrapText="1"/>
    </xf>
    <xf numFmtId="0" fontId="28" fillId="0" borderId="0" xfId="1" applyFont="1" applyAlignment="1">
      <alignment horizontal="left"/>
    </xf>
    <xf numFmtId="0" fontId="28" fillId="0" borderId="0" xfId="1" applyFont="1" applyAlignment="1">
      <alignment horizontal="center" wrapText="1"/>
    </xf>
    <xf numFmtId="0" fontId="8" fillId="0" borderId="0" xfId="1" applyFont="1" applyAlignment="1">
      <alignment horizontal="center" wrapText="1"/>
    </xf>
    <xf numFmtId="9" fontId="5" fillId="0" borderId="1" xfId="1" applyNumberFormat="1" applyFont="1" applyBorder="1" applyAlignment="1">
      <alignment horizontal="center" wrapText="1"/>
    </xf>
    <xf numFmtId="0" fontId="15" fillId="0" borderId="1" xfId="1" applyFont="1" applyBorder="1" applyAlignment="1">
      <alignment horizontal="justify" vertical="center" wrapText="1"/>
    </xf>
    <xf numFmtId="0" fontId="5" fillId="0" borderId="1" xfId="1" applyFont="1" applyBorder="1" applyAlignment="1">
      <alignment horizontal="center" wrapText="1"/>
    </xf>
    <xf numFmtId="0" fontId="15" fillId="0" borderId="3" xfId="1" applyFont="1" applyBorder="1" applyAlignment="1">
      <alignment horizontal="left" vertical="center" wrapText="1"/>
    </xf>
    <xf numFmtId="0" fontId="5" fillId="0" borderId="1" xfId="1" applyFont="1" applyBorder="1" applyAlignment="1">
      <alignment wrapText="1"/>
    </xf>
    <xf numFmtId="0" fontId="5" fillId="0" borderId="1" xfId="1" applyFont="1" applyBorder="1" applyAlignment="1">
      <alignment horizontal="center"/>
    </xf>
    <xf numFmtId="0" fontId="5" fillId="0" borderId="3" xfId="1" applyFont="1" applyBorder="1" applyAlignment="1">
      <alignment wrapText="1"/>
    </xf>
    <xf numFmtId="0" fontId="5" fillId="0" borderId="10" xfId="1" applyFont="1" applyBorder="1" applyAlignment="1">
      <alignment wrapText="1"/>
    </xf>
    <xf numFmtId="0" fontId="5" fillId="0" borderId="3" xfId="1" applyFont="1" applyBorder="1" applyAlignment="1">
      <alignment horizontal="left" wrapText="1"/>
    </xf>
    <xf numFmtId="0" fontId="5" fillId="0" borderId="4" xfId="1" applyFont="1" applyBorder="1" applyAlignment="1">
      <alignment horizontal="left" wrapText="1"/>
    </xf>
    <xf numFmtId="0" fontId="7" fillId="0" borderId="1" xfId="1" applyFont="1" applyBorder="1" applyAlignment="1">
      <alignment horizontal="left" vertical="top" wrapText="1"/>
    </xf>
    <xf numFmtId="0" fontId="8" fillId="0" borderId="1" xfId="1" applyFont="1" applyBorder="1" applyAlignment="1">
      <alignment horizontal="left" vertical="top" wrapText="1"/>
    </xf>
    <xf numFmtId="0" fontId="5" fillId="0" borderId="1" xfId="0" applyFont="1" applyBorder="1" applyAlignment="1">
      <alignment horizontal="center" vertical="top"/>
    </xf>
    <xf numFmtId="165" fontId="5" fillId="0" borderId="1" xfId="0" applyNumberFormat="1" applyFont="1" applyBorder="1" applyAlignment="1">
      <alignment horizontal="center" vertical="top"/>
    </xf>
    <xf numFmtId="165" fontId="5" fillId="0" borderId="12" xfId="0" applyNumberFormat="1" applyFont="1" applyBorder="1" applyAlignment="1">
      <alignment horizontal="center" vertical="top" wrapText="1"/>
    </xf>
    <xf numFmtId="0" fontId="6" fillId="0" borderId="1" xfId="0" applyFont="1" applyBorder="1" applyAlignment="1">
      <alignment horizontal="center" vertical="top" wrapText="1"/>
    </xf>
    <xf numFmtId="0" fontId="5" fillId="0" borderId="4" xfId="1" applyFont="1" applyBorder="1" applyAlignment="1">
      <alignment horizontal="center"/>
    </xf>
    <xf numFmtId="0" fontId="5" fillId="0" borderId="3" xfId="1" applyFont="1" applyBorder="1" applyAlignment="1">
      <alignment horizontal="center"/>
    </xf>
    <xf numFmtId="0" fontId="14" fillId="0" borderId="1" xfId="1" quotePrefix="1" applyFont="1" applyBorder="1" applyAlignment="1">
      <alignment horizontal="left" vertical="center" wrapText="1"/>
    </xf>
    <xf numFmtId="0" fontId="36" fillId="0" borderId="1" xfId="0" applyFont="1" applyBorder="1"/>
    <xf numFmtId="0" fontId="36" fillId="0" borderId="0" xfId="0" applyFont="1"/>
    <xf numFmtId="0" fontId="15" fillId="0" borderId="0" xfId="1" applyFont="1"/>
    <xf numFmtId="0" fontId="14" fillId="0" borderId="1" xfId="1" applyFont="1" applyBorder="1" applyAlignment="1">
      <alignment horizontal="left" vertical="center"/>
    </xf>
    <xf numFmtId="0" fontId="14" fillId="0" borderId="1" xfId="1" applyFont="1" applyBorder="1" applyAlignment="1">
      <alignment vertical="center"/>
    </xf>
    <xf numFmtId="0" fontId="14" fillId="0" borderId="1" xfId="1" applyFont="1" applyBorder="1" applyAlignment="1">
      <alignment vertical="top" wrapText="1"/>
    </xf>
    <xf numFmtId="0" fontId="7" fillId="0" borderId="1" xfId="1" applyFont="1" applyBorder="1" applyAlignment="1">
      <alignment vertical="center" wrapText="1"/>
    </xf>
    <xf numFmtId="0" fontId="0" fillId="3" borderId="1" xfId="0" applyFill="1" applyBorder="1"/>
    <xf numFmtId="2" fontId="0" fillId="0" borderId="1" xfId="0" applyNumberFormat="1" applyBorder="1"/>
    <xf numFmtId="0" fontId="8" fillId="0" borderId="1" xfId="1" applyFont="1" applyBorder="1" applyAlignment="1">
      <alignment vertical="top" wrapText="1"/>
    </xf>
    <xf numFmtId="0" fontId="7" fillId="0" borderId="1" xfId="1" applyFont="1" applyBorder="1"/>
    <xf numFmtId="0" fontId="7" fillId="0" borderId="1" xfId="1" quotePrefix="1" applyFont="1" applyBorder="1" applyAlignment="1">
      <alignment vertical="top" wrapText="1"/>
    </xf>
    <xf numFmtId="0" fontId="5" fillId="0" borderId="1" xfId="1" applyFont="1" applyBorder="1" applyAlignment="1">
      <alignment vertical="top"/>
    </xf>
    <xf numFmtId="0" fontId="8" fillId="0" borderId="1" xfId="1" applyFont="1" applyBorder="1" applyAlignment="1">
      <alignment horizontal="center" vertical="top"/>
    </xf>
    <xf numFmtId="0" fontId="0" fillId="0" borderId="1" xfId="0" applyBorder="1" applyAlignment="1">
      <alignment horizontal="center" vertical="center"/>
    </xf>
    <xf numFmtId="0" fontId="0" fillId="0" borderId="1" xfId="0" applyBorder="1" applyAlignment="1">
      <alignment vertical="center" wrapText="1"/>
    </xf>
    <xf numFmtId="0" fontId="8" fillId="0" borderId="3" xfId="1" applyFont="1" applyBorder="1" applyAlignment="1">
      <alignment vertical="top"/>
    </xf>
    <xf numFmtId="0" fontId="8" fillId="0" borderId="4" xfId="1" applyFont="1" applyBorder="1" applyAlignment="1">
      <alignment vertical="top"/>
    </xf>
    <xf numFmtId="0" fontId="8" fillId="0" borderId="5" xfId="1" applyFont="1" applyBorder="1" applyAlignment="1">
      <alignment vertical="top"/>
    </xf>
    <xf numFmtId="0" fontId="10" fillId="0" borderId="1" xfId="1" applyFont="1" applyBorder="1" applyAlignment="1">
      <alignment horizontal="center" vertical="top" wrapText="1"/>
    </xf>
    <xf numFmtId="9" fontId="5" fillId="0" borderId="1" xfId="0" applyNumberFormat="1" applyFont="1" applyBorder="1" applyAlignment="1">
      <alignment horizontal="center" vertical="top" wrapText="1"/>
    </xf>
    <xf numFmtId="0" fontId="0" fillId="0" borderId="1" xfId="0" applyBorder="1" applyAlignment="1">
      <alignment wrapText="1"/>
    </xf>
    <xf numFmtId="0" fontId="15" fillId="0" borderId="0" xfId="1" applyFont="1" applyAlignment="1">
      <alignment horizontal="left" vertical="top"/>
    </xf>
    <xf numFmtId="0" fontId="0" fillId="0" borderId="0" xfId="0" applyAlignment="1">
      <alignment horizontal="center" vertical="center"/>
    </xf>
    <xf numFmtId="0" fontId="27" fillId="0" borderId="4" xfId="1" applyFont="1" applyBorder="1" applyAlignment="1">
      <alignment horizontal="center" vertical="center"/>
    </xf>
    <xf numFmtId="0" fontId="0" fillId="0" borderId="1" xfId="0" applyBorder="1" applyAlignment="1">
      <alignment vertical="top" wrapText="1"/>
    </xf>
    <xf numFmtId="0" fontId="5" fillId="0" borderId="4" xfId="1" applyFont="1" applyBorder="1" applyAlignment="1">
      <alignment vertical="center"/>
    </xf>
    <xf numFmtId="0" fontId="5" fillId="0" borderId="5" xfId="1" applyFont="1" applyBorder="1" applyAlignment="1">
      <alignment vertical="center"/>
    </xf>
    <xf numFmtId="0" fontId="7" fillId="0" borderId="0" xfId="1" applyFont="1" applyAlignment="1">
      <alignment horizontal="center" vertical="top" wrapText="1"/>
    </xf>
    <xf numFmtId="0" fontId="5" fillId="0" borderId="0" xfId="0" applyFont="1" applyAlignment="1">
      <alignment vertical="center"/>
    </xf>
    <xf numFmtId="0" fontId="5" fillId="0" borderId="1" xfId="0" applyFont="1" applyBorder="1" applyAlignment="1">
      <alignment vertical="center" wrapText="1"/>
    </xf>
    <xf numFmtId="10" fontId="6" fillId="0" borderId="1" xfId="1" applyNumberFormat="1" applyFont="1" applyBorder="1" applyAlignment="1">
      <alignment horizontal="center" vertical="top" wrapText="1"/>
    </xf>
    <xf numFmtId="165" fontId="8" fillId="3" borderId="1" xfId="0" applyNumberFormat="1" applyFont="1" applyFill="1" applyBorder="1" applyAlignment="1">
      <alignment horizontal="center" vertical="center"/>
    </xf>
    <xf numFmtId="165" fontId="5" fillId="0" borderId="1" xfId="0" applyNumberFormat="1" applyFont="1" applyBorder="1" applyAlignment="1">
      <alignment horizontal="center" vertical="top" wrapText="1"/>
    </xf>
    <xf numFmtId="0" fontId="5" fillId="0" borderId="1" xfId="0" applyFont="1" applyBorder="1" applyAlignment="1">
      <alignment vertical="top" wrapText="1"/>
    </xf>
    <xf numFmtId="21" fontId="7" fillId="0" borderId="1" xfId="1" quotePrefix="1" applyNumberFormat="1" applyFont="1" applyBorder="1" applyAlignment="1">
      <alignment horizontal="left" vertical="top" wrapText="1"/>
    </xf>
    <xf numFmtId="0" fontId="0" fillId="0" borderId="0" xfId="0" applyAlignment="1">
      <alignment wrapText="1"/>
    </xf>
    <xf numFmtId="0" fontId="5" fillId="0" borderId="0" xfId="0" applyFont="1" applyAlignment="1">
      <alignment wrapText="1"/>
    </xf>
    <xf numFmtId="1" fontId="6" fillId="0" borderId="1" xfId="1" quotePrefix="1" applyNumberFormat="1" applyFont="1" applyBorder="1" applyAlignment="1">
      <alignment horizontal="center" vertical="top" wrapText="1"/>
    </xf>
    <xf numFmtId="1" fontId="5" fillId="0" borderId="1" xfId="1" applyNumberFormat="1" applyFont="1" applyBorder="1" applyAlignment="1">
      <alignment wrapText="1"/>
    </xf>
    <xf numFmtId="0" fontId="2" fillId="0" borderId="0" xfId="1" applyAlignment="1">
      <alignment wrapText="1"/>
    </xf>
    <xf numFmtId="0" fontId="5" fillId="0" borderId="0" xfId="0" applyFont="1"/>
    <xf numFmtId="0" fontId="5" fillId="0" borderId="0" xfId="0" applyFont="1" applyAlignment="1">
      <alignment vertical="top" wrapText="1"/>
    </xf>
    <xf numFmtId="0" fontId="0" fillId="0" borderId="0" xfId="0" applyAlignment="1">
      <alignment vertical="top" wrapText="1"/>
    </xf>
    <xf numFmtId="0" fontId="24" fillId="0" borderId="0" xfId="1" applyFont="1" applyAlignment="1">
      <alignment vertical="top" wrapText="1"/>
    </xf>
    <xf numFmtId="0" fontId="2" fillId="0" borderId="0" xfId="1" applyAlignment="1">
      <alignment vertical="top" wrapText="1"/>
    </xf>
    <xf numFmtId="0" fontId="6" fillId="0" borderId="0" xfId="1" quotePrefix="1" applyFont="1" applyAlignment="1">
      <alignment horizontal="center" vertical="top" wrapText="1"/>
    </xf>
    <xf numFmtId="0" fontId="6" fillId="0" borderId="0" xfId="1" applyFont="1" applyAlignment="1">
      <alignment vertical="top" wrapText="1"/>
    </xf>
    <xf numFmtId="0" fontId="5" fillId="0" borderId="0" xfId="1" applyFont="1" applyAlignment="1">
      <alignment wrapText="1"/>
    </xf>
    <xf numFmtId="0" fontId="6" fillId="0" borderId="1" xfId="0" applyFont="1" applyBorder="1" applyAlignment="1">
      <alignment horizontal="left" vertical="top" wrapText="1"/>
    </xf>
    <xf numFmtId="0" fontId="6" fillId="0" borderId="1" xfId="0" applyFont="1" applyBorder="1" applyAlignment="1">
      <alignment vertical="top" wrapText="1"/>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4" xfId="1" applyFont="1" applyBorder="1" applyAlignment="1">
      <alignment horizontal="center" vertical="center"/>
    </xf>
    <xf numFmtId="1" fontId="5" fillId="0" borderId="0" xfId="1" applyNumberFormat="1" applyFont="1" applyAlignment="1">
      <alignment wrapText="1"/>
    </xf>
    <xf numFmtId="1" fontId="5" fillId="0" borderId="1" xfId="1" quotePrefix="1" applyNumberFormat="1" applyFont="1" applyBorder="1" applyAlignment="1">
      <alignment horizontal="center" vertical="center" wrapText="1"/>
    </xf>
    <xf numFmtId="0" fontId="5" fillId="0" borderId="1" xfId="1" quotePrefix="1" applyFont="1" applyBorder="1" applyAlignment="1">
      <alignment horizontal="center" vertical="center" wrapText="1"/>
    </xf>
    <xf numFmtId="1" fontId="8" fillId="0" borderId="1" xfId="1" quotePrefix="1" applyNumberFormat="1" applyFont="1" applyBorder="1" applyAlignment="1">
      <alignment horizontal="center" vertical="center" wrapText="1"/>
    </xf>
    <xf numFmtId="0" fontId="8" fillId="0" borderId="1" xfId="1" quotePrefix="1" applyFont="1" applyBorder="1" applyAlignment="1">
      <alignment horizontal="left" vertical="center" wrapText="1"/>
    </xf>
    <xf numFmtId="0" fontId="5" fillId="0" borderId="1" xfId="0" applyFont="1" applyBorder="1" applyAlignment="1">
      <alignment horizontal="center" vertical="top" wrapText="1"/>
    </xf>
    <xf numFmtId="165" fontId="5" fillId="0" borderId="1" xfId="0" applyNumberFormat="1" applyFont="1" applyBorder="1" applyAlignment="1">
      <alignment vertical="top" wrapText="1"/>
    </xf>
    <xf numFmtId="0" fontId="0" fillId="0" borderId="1" xfId="0" applyBorder="1" applyAlignment="1">
      <alignment horizontal="center" vertical="center" wrapText="1"/>
    </xf>
    <xf numFmtId="1" fontId="2" fillId="0" borderId="0" xfId="1" applyNumberFormat="1" applyAlignment="1">
      <alignment wrapText="1"/>
    </xf>
    <xf numFmtId="1" fontId="0" fillId="0" borderId="0" xfId="0" applyNumberFormat="1" applyAlignment="1">
      <alignment wrapText="1"/>
    </xf>
    <xf numFmtId="0" fontId="15" fillId="0" borderId="4" xfId="1" applyFont="1" applyBorder="1" applyAlignment="1">
      <alignment horizontal="justify" vertical="center" wrapText="1"/>
    </xf>
    <xf numFmtId="0" fontId="5" fillId="0" borderId="4" xfId="1" applyFont="1" applyBorder="1" applyAlignment="1">
      <alignment wrapText="1"/>
    </xf>
    <xf numFmtId="0" fontId="5" fillId="0" borderId="8" xfId="1" applyFont="1" applyBorder="1" applyAlignment="1">
      <alignment wrapText="1"/>
    </xf>
    <xf numFmtId="0" fontId="5" fillId="0" borderId="8" xfId="1" applyFont="1" applyBorder="1" applyAlignment="1">
      <alignment horizontal="center" vertical="center" wrapText="1"/>
    </xf>
    <xf numFmtId="0" fontId="15" fillId="0" borderId="8" xfId="1" applyFont="1" applyBorder="1" applyAlignment="1">
      <alignment horizontal="center" vertical="center" wrapText="1"/>
    </xf>
    <xf numFmtId="1" fontId="5" fillId="0" borderId="1" xfId="1" applyNumberFormat="1" applyFont="1" applyBorder="1" applyAlignment="1">
      <alignment horizontal="center" wrapText="1"/>
    </xf>
    <xf numFmtId="1" fontId="5" fillId="0" borderId="1" xfId="1" quotePrefix="1" applyNumberFormat="1" applyFont="1" applyBorder="1" applyAlignment="1">
      <alignment horizontal="center" wrapText="1"/>
    </xf>
    <xf numFmtId="0" fontId="5" fillId="0" borderId="0" xfId="0" applyFont="1" applyAlignment="1">
      <alignment horizontal="center" vertical="center" wrapText="1"/>
    </xf>
    <xf numFmtId="0" fontId="5" fillId="0" borderId="0" xfId="0" applyFont="1" applyAlignment="1">
      <alignment vertical="center" wrapText="1"/>
    </xf>
    <xf numFmtId="0" fontId="8" fillId="0" borderId="1" xfId="1" quotePrefix="1" applyFont="1" applyBorder="1" applyAlignment="1">
      <alignment horizontal="center" vertical="center" wrapText="1"/>
    </xf>
    <xf numFmtId="0" fontId="5" fillId="0" borderId="1" xfId="0" applyFont="1" applyBorder="1" applyAlignment="1">
      <alignment wrapText="1"/>
    </xf>
    <xf numFmtId="1" fontId="5" fillId="0" borderId="1" xfId="0" applyNumberFormat="1" applyFont="1" applyBorder="1" applyAlignment="1">
      <alignment vertical="top" wrapText="1"/>
    </xf>
    <xf numFmtId="1" fontId="5" fillId="0" borderId="1" xfId="0" applyNumberFormat="1" applyFont="1" applyBorder="1" applyAlignment="1">
      <alignment horizontal="center" vertical="top" wrapText="1"/>
    </xf>
    <xf numFmtId="165" fontId="5" fillId="0" borderId="1" xfId="0" quotePrefix="1" applyNumberFormat="1" applyFont="1" applyBorder="1" applyAlignment="1">
      <alignment horizontal="center" vertical="top" wrapText="1"/>
    </xf>
    <xf numFmtId="165" fontId="5" fillId="3" borderId="1" xfId="0" applyNumberFormat="1" applyFont="1" applyFill="1" applyBorder="1" applyAlignment="1">
      <alignment horizontal="center" vertical="top" wrapText="1"/>
    </xf>
    <xf numFmtId="0" fontId="15" fillId="0" borderId="0" xfId="1" applyFont="1" applyAlignment="1">
      <alignment horizontal="justify" vertical="center" wrapText="1"/>
    </xf>
    <xf numFmtId="0" fontId="5" fillId="0" borderId="0" xfId="1" applyFont="1" applyAlignment="1">
      <alignment horizontal="center" vertical="center" wrapText="1"/>
    </xf>
    <xf numFmtId="0" fontId="5" fillId="0" borderId="0" xfId="1" applyFont="1" applyAlignment="1">
      <alignment vertical="center" wrapText="1"/>
    </xf>
    <xf numFmtId="16" fontId="5" fillId="0" borderId="1" xfId="1" quotePrefix="1" applyNumberFormat="1" applyFont="1" applyBorder="1" applyAlignment="1">
      <alignment horizontal="center" wrapText="1"/>
    </xf>
    <xf numFmtId="0" fontId="2" fillId="0" borderId="0" xfId="1" applyAlignment="1">
      <alignment horizontal="center" wrapText="1"/>
    </xf>
    <xf numFmtId="0" fontId="0" fillId="0" borderId="1" xfId="0" applyBorder="1" applyAlignment="1">
      <alignment horizontal="center" wrapText="1"/>
    </xf>
    <xf numFmtId="0" fontId="6" fillId="0" borderId="1" xfId="1" applyFont="1" applyBorder="1" applyAlignment="1">
      <alignment wrapText="1"/>
    </xf>
    <xf numFmtId="0" fontId="6" fillId="0" borderId="0" xfId="1" applyFont="1" applyAlignment="1">
      <alignment wrapText="1"/>
    </xf>
    <xf numFmtId="0" fontId="6" fillId="0" borderId="0" xfId="1" applyFont="1" applyAlignment="1">
      <alignment horizontal="center" vertical="center" wrapText="1"/>
    </xf>
    <xf numFmtId="0" fontId="0" fillId="0" borderId="0" xfId="0" applyAlignment="1">
      <alignment horizontal="center" wrapText="1"/>
    </xf>
    <xf numFmtId="0" fontId="5" fillId="0" borderId="0" xfId="1" applyFont="1" applyAlignment="1">
      <alignment horizontal="center" wrapText="1"/>
    </xf>
    <xf numFmtId="0" fontId="5" fillId="0" borderId="4" xfId="1" applyFont="1" applyBorder="1"/>
    <xf numFmtId="0" fontId="5" fillId="0" borderId="1" xfId="1" applyFont="1" applyBorder="1"/>
    <xf numFmtId="0" fontId="5" fillId="0" borderId="3" xfId="1" applyFont="1" applyBorder="1"/>
    <xf numFmtId="0" fontId="5" fillId="0" borderId="5" xfId="1" applyFont="1" applyBorder="1"/>
    <xf numFmtId="0" fontId="34" fillId="0" borderId="0" xfId="0" applyFont="1" applyAlignment="1">
      <alignment horizontal="center" wrapText="1"/>
    </xf>
    <xf numFmtId="0" fontId="5" fillId="0" borderId="8" xfId="1" applyFont="1" applyBorder="1" applyAlignment="1">
      <alignment horizontal="center" wrapText="1"/>
    </xf>
    <xf numFmtId="0" fontId="34" fillId="0" borderId="0" xfId="0" applyFont="1" applyAlignment="1">
      <alignment horizontal="center"/>
    </xf>
    <xf numFmtId="0" fontId="6" fillId="0" borderId="1" xfId="0" applyFont="1" applyBorder="1"/>
    <xf numFmtId="0" fontId="6" fillId="0" borderId="1" xfId="0" applyFont="1" applyBorder="1" applyAlignment="1">
      <alignment vertical="top"/>
    </xf>
    <xf numFmtId="49" fontId="5" fillId="0" borderId="1" xfId="0" applyNumberFormat="1" applyFont="1" applyBorder="1"/>
    <xf numFmtId="49" fontId="5" fillId="0" borderId="1" xfId="0" applyNumberFormat="1" applyFont="1" applyBorder="1" applyAlignment="1">
      <alignment vertical="top" wrapText="1"/>
    </xf>
    <xf numFmtId="49" fontId="5" fillId="0" borderId="1" xfId="0" applyNumberFormat="1" applyFont="1" applyBorder="1" applyAlignment="1">
      <alignment vertical="top"/>
    </xf>
    <xf numFmtId="0" fontId="35" fillId="0" borderId="1" xfId="18" applyFont="1" applyBorder="1" applyAlignment="1">
      <alignment horizontal="center" vertical="top" wrapText="1"/>
    </xf>
    <xf numFmtId="165" fontId="5" fillId="4" borderId="1" xfId="0" applyNumberFormat="1" applyFont="1" applyFill="1" applyBorder="1" applyAlignment="1">
      <alignment horizontal="center" vertical="top"/>
    </xf>
    <xf numFmtId="165" fontId="5" fillId="4" borderId="1" xfId="0" applyNumberFormat="1" applyFont="1" applyFill="1" applyBorder="1" applyAlignment="1">
      <alignment vertical="top"/>
    </xf>
    <xf numFmtId="0" fontId="23" fillId="0" borderId="1" xfId="1" applyFont="1" applyBorder="1" applyAlignment="1">
      <alignment horizontal="center" vertical="top" wrapText="1"/>
    </xf>
    <xf numFmtId="0" fontId="15" fillId="2" borderId="1" xfId="1" applyFont="1" applyFill="1" applyBorder="1" applyAlignment="1">
      <alignment horizontal="left" vertical="top"/>
    </xf>
    <xf numFmtId="0" fontId="35" fillId="4" borderId="1" xfId="18" applyFont="1" applyFill="1" applyBorder="1" applyAlignment="1">
      <alignment horizontal="center" vertical="top"/>
    </xf>
    <xf numFmtId="0" fontId="35" fillId="4" borderId="1" xfId="18" applyFont="1" applyFill="1" applyBorder="1" applyAlignment="1">
      <alignment horizontal="center" vertical="top" wrapText="1"/>
    </xf>
    <xf numFmtId="165" fontId="5" fillId="5" borderId="1" xfId="0" applyNumberFormat="1" applyFont="1" applyFill="1" applyBorder="1" applyAlignment="1">
      <alignment horizontal="center" wrapText="1"/>
    </xf>
    <xf numFmtId="0" fontId="15" fillId="5" borderId="1" xfId="1" quotePrefix="1" applyFont="1" applyFill="1" applyBorder="1" applyAlignment="1">
      <alignment horizontal="center" vertical="center" wrapText="1"/>
    </xf>
    <xf numFmtId="165" fontId="5" fillId="3" borderId="1" xfId="0" applyNumberFormat="1" applyFont="1" applyFill="1" applyBorder="1" applyAlignment="1">
      <alignment vertical="top" wrapText="1"/>
    </xf>
    <xf numFmtId="165" fontId="5" fillId="5" borderId="1" xfId="0" applyNumberFormat="1" applyFont="1" applyFill="1" applyBorder="1" applyAlignment="1">
      <alignment horizontal="center" vertical="top" wrapText="1"/>
    </xf>
    <xf numFmtId="165" fontId="38" fillId="3" borderId="1" xfId="0" applyNumberFormat="1" applyFont="1" applyFill="1" applyBorder="1" applyAlignment="1">
      <alignment horizontal="center" wrapText="1"/>
    </xf>
    <xf numFmtId="1" fontId="6" fillId="0" borderId="1" xfId="0" applyNumberFormat="1" applyFont="1" applyBorder="1" applyAlignment="1">
      <alignment horizontal="center" vertical="top"/>
    </xf>
    <xf numFmtId="1" fontId="5" fillId="0" borderId="1" xfId="0" applyNumberFormat="1" applyFont="1" applyBorder="1" applyAlignment="1">
      <alignment horizontal="center" vertical="top"/>
    </xf>
    <xf numFmtId="0" fontId="32" fillId="4" borderId="1" xfId="18" applyFont="1" applyFill="1" applyBorder="1" applyAlignment="1">
      <alignment horizontal="center" vertical="top" wrapText="1"/>
    </xf>
    <xf numFmtId="1" fontId="6" fillId="3" borderId="1" xfId="0" applyNumberFormat="1" applyFont="1" applyFill="1" applyBorder="1" applyAlignment="1">
      <alignment horizontal="center" vertical="top"/>
    </xf>
    <xf numFmtId="1" fontId="6" fillId="5" borderId="1" xfId="0" applyNumberFormat="1" applyFont="1" applyFill="1" applyBorder="1" applyAlignment="1">
      <alignment horizontal="center" vertical="top"/>
    </xf>
    <xf numFmtId="0" fontId="44" fillId="0" borderId="1" xfId="0" applyFont="1" applyBorder="1" applyAlignment="1">
      <alignment horizontal="center" vertical="top"/>
    </xf>
    <xf numFmtId="0" fontId="8" fillId="0" borderId="1" xfId="1" applyFont="1" applyBorder="1" applyAlignment="1">
      <alignment horizontal="left" vertical="top"/>
    </xf>
    <xf numFmtId="0" fontId="23" fillId="0" borderId="1" xfId="0" applyFont="1" applyBorder="1" applyAlignment="1">
      <alignment horizontal="center" vertical="top"/>
    </xf>
    <xf numFmtId="165" fontId="23" fillId="0" borderId="1" xfId="0" applyNumberFormat="1" applyFont="1" applyBorder="1" applyAlignment="1">
      <alignment horizontal="center" vertical="top"/>
    </xf>
    <xf numFmtId="0" fontId="23" fillId="0" borderId="1" xfId="0" applyFont="1" applyBorder="1" applyAlignment="1">
      <alignment horizontal="center" vertical="top" wrapText="1"/>
    </xf>
    <xf numFmtId="165" fontId="23" fillId="0" borderId="1" xfId="0" applyNumberFormat="1" applyFont="1" applyBorder="1" applyAlignment="1">
      <alignment horizontal="center" vertical="top" wrapText="1"/>
    </xf>
    <xf numFmtId="165" fontId="23" fillId="0" borderId="1" xfId="0" applyNumberFormat="1" applyFont="1" applyBorder="1" applyAlignment="1">
      <alignment vertical="top" wrapText="1"/>
    </xf>
    <xf numFmtId="0" fontId="44" fillId="0" borderId="1" xfId="0" applyFont="1" applyBorder="1" applyAlignment="1">
      <alignment wrapText="1"/>
    </xf>
    <xf numFmtId="1" fontId="23" fillId="0" borderId="1" xfId="0" applyNumberFormat="1" applyFont="1" applyBorder="1" applyAlignment="1">
      <alignment horizontal="center" vertical="top" wrapText="1"/>
    </xf>
    <xf numFmtId="0" fontId="0" fillId="0" borderId="1" xfId="0" applyBorder="1" applyAlignment="1">
      <alignment horizontal="center" vertical="top" wrapText="1"/>
    </xf>
    <xf numFmtId="0" fontId="0" fillId="3" borderId="1" xfId="0" applyFill="1" applyBorder="1" applyAlignment="1">
      <alignment horizontal="center"/>
    </xf>
    <xf numFmtId="0" fontId="0" fillId="5" borderId="1" xfId="0" applyFill="1" applyBorder="1"/>
    <xf numFmtId="0" fontId="7" fillId="3" borderId="1" xfId="1" applyFont="1" applyFill="1" applyBorder="1" applyAlignment="1">
      <alignment vertical="center"/>
    </xf>
    <xf numFmtId="0" fontId="7" fillId="3" borderId="1" xfId="1" applyFont="1" applyFill="1" applyBorder="1" applyAlignment="1">
      <alignment horizontal="center" vertical="center"/>
    </xf>
    <xf numFmtId="0" fontId="7" fillId="3" borderId="1" xfId="1" applyFont="1" applyFill="1" applyBorder="1" applyAlignment="1">
      <alignment horizontal="left"/>
    </xf>
    <xf numFmtId="0" fontId="0" fillId="4" borderId="1" xfId="0" applyFill="1" applyBorder="1" applyAlignment="1">
      <alignment horizontal="center"/>
    </xf>
    <xf numFmtId="0" fontId="0" fillId="4" borderId="1" xfId="0" applyFill="1" applyBorder="1"/>
    <xf numFmtId="2" fontId="0" fillId="5" borderId="1" xfId="0" applyNumberFormat="1" applyFill="1" applyBorder="1"/>
    <xf numFmtId="0" fontId="46" fillId="0" borderId="1" xfId="0" applyFont="1" applyBorder="1" applyAlignment="1">
      <alignment horizontal="center" vertical="top"/>
    </xf>
    <xf numFmtId="0" fontId="5" fillId="0" borderId="1" xfId="0" applyFont="1" applyBorder="1" applyAlignment="1">
      <alignment horizontal="left" vertical="top" wrapText="1"/>
    </xf>
    <xf numFmtId="0" fontId="5" fillId="0" borderId="1" xfId="0" applyFont="1" applyBorder="1" applyAlignment="1">
      <alignment vertical="top"/>
    </xf>
    <xf numFmtId="0" fontId="0" fillId="0" borderId="1" xfId="0" applyBorder="1" applyAlignment="1">
      <alignment horizontal="center" vertical="top"/>
    </xf>
    <xf numFmtId="0" fontId="23" fillId="0" borderId="1" xfId="1" quotePrefix="1" applyFont="1" applyBorder="1" applyAlignment="1">
      <alignment horizontal="center" vertical="top" wrapText="1"/>
    </xf>
    <xf numFmtId="0" fontId="5" fillId="0" borderId="1" xfId="0" applyFont="1" applyBorder="1"/>
    <xf numFmtId="0" fontId="7" fillId="0" borderId="1" xfId="1" applyFont="1" applyBorder="1" applyAlignment="1">
      <alignment horizontal="left" vertical="center" wrapText="1"/>
    </xf>
    <xf numFmtId="1" fontId="5" fillId="0" borderId="15" xfId="0" applyNumberFormat="1" applyFont="1" applyBorder="1" applyAlignment="1">
      <alignment horizontal="center" vertical="top"/>
    </xf>
    <xf numFmtId="0" fontId="5" fillId="0" borderId="15" xfId="0" applyFont="1" applyBorder="1" applyAlignment="1">
      <alignment horizontal="center" vertical="top"/>
    </xf>
    <xf numFmtId="0" fontId="14" fillId="0" borderId="15" xfId="0" applyFont="1" applyBorder="1" applyAlignment="1">
      <alignment horizontal="center" vertical="top" wrapText="1"/>
    </xf>
    <xf numFmtId="0" fontId="14" fillId="6" borderId="15" xfId="0" applyFont="1" applyFill="1" applyBorder="1" applyAlignment="1">
      <alignment horizontal="center" vertical="top"/>
    </xf>
    <xf numFmtId="0" fontId="47" fillId="0" borderId="15" xfId="0" applyFont="1" applyBorder="1" applyAlignment="1">
      <alignment horizontal="center"/>
    </xf>
    <xf numFmtId="0" fontId="48" fillId="0" borderId="15" xfId="0" applyFont="1" applyBorder="1" applyAlignment="1">
      <alignment horizontal="center" vertical="top"/>
    </xf>
    <xf numFmtId="0" fontId="49" fillId="0" borderId="15" xfId="0" applyFont="1" applyBorder="1" applyAlignment="1">
      <alignment horizontal="center"/>
    </xf>
    <xf numFmtId="165" fontId="5" fillId="5" borderId="13" xfId="0" applyNumberFormat="1" applyFont="1" applyFill="1" applyBorder="1" applyAlignment="1">
      <alignment vertical="top"/>
    </xf>
    <xf numFmtId="165" fontId="5" fillId="0" borderId="1" xfId="0" quotePrefix="1" applyNumberFormat="1" applyFont="1" applyBorder="1" applyAlignment="1">
      <alignment horizontal="center" vertical="top"/>
    </xf>
    <xf numFmtId="2" fontId="5" fillId="4" borderId="1" xfId="0" applyNumberFormat="1" applyFont="1" applyFill="1" applyBorder="1" applyAlignment="1">
      <alignment horizontal="center" vertical="top"/>
    </xf>
    <xf numFmtId="2" fontId="5" fillId="0" borderId="1" xfId="0" applyNumberFormat="1" applyFont="1" applyBorder="1" applyAlignment="1">
      <alignment vertical="top"/>
    </xf>
    <xf numFmtId="2" fontId="5" fillId="0" borderId="1" xfId="0" applyNumberFormat="1" applyFont="1" applyBorder="1" applyAlignment="1">
      <alignment horizontal="center" vertical="top"/>
    </xf>
    <xf numFmtId="2" fontId="5" fillId="3" borderId="1" xfId="0" applyNumberFormat="1" applyFont="1" applyFill="1" applyBorder="1" applyAlignment="1">
      <alignment horizontal="center" vertical="top"/>
    </xf>
    <xf numFmtId="0" fontId="23" fillId="0" borderId="1" xfId="0" applyFont="1" applyBorder="1" applyAlignment="1">
      <alignment vertical="top"/>
    </xf>
    <xf numFmtId="165" fontId="5" fillId="0" borderId="1" xfId="0" applyNumberFormat="1" applyFont="1" applyBorder="1" applyAlignment="1">
      <alignment vertical="top"/>
    </xf>
    <xf numFmtId="2" fontId="5" fillId="3" borderId="1" xfId="0" applyNumberFormat="1" applyFont="1" applyFill="1" applyBorder="1" applyAlignment="1">
      <alignment vertical="top"/>
    </xf>
    <xf numFmtId="0" fontId="14" fillId="0" borderId="1" xfId="0" applyFont="1" applyBorder="1" applyAlignment="1">
      <alignment horizontal="left" vertical="top"/>
    </xf>
    <xf numFmtId="0" fontId="15" fillId="2" borderId="1" xfId="0" applyFont="1" applyFill="1" applyBorder="1" applyAlignment="1">
      <alignment horizontal="left" vertical="top" wrapText="1"/>
    </xf>
    <xf numFmtId="0" fontId="8" fillId="0" borderId="1" xfId="0" applyFont="1" applyBorder="1" applyAlignment="1">
      <alignment horizontal="left" vertical="top"/>
    </xf>
    <xf numFmtId="0" fontId="23" fillId="0" borderId="1" xfId="0" applyFont="1" applyBorder="1" applyAlignment="1">
      <alignment horizontal="left" vertical="top"/>
    </xf>
    <xf numFmtId="0" fontId="15" fillId="0" borderId="1" xfId="0" applyFont="1" applyBorder="1" applyAlignment="1">
      <alignment horizontal="left" vertical="top" wrapText="1"/>
    </xf>
    <xf numFmtId="2" fontId="5" fillId="3" borderId="1" xfId="0" applyNumberFormat="1" applyFont="1" applyFill="1" applyBorder="1"/>
    <xf numFmtId="0" fontId="23" fillId="2" borderId="1" xfId="0" applyFont="1" applyFill="1" applyBorder="1" applyAlignment="1">
      <alignment horizontal="center" vertical="top"/>
    </xf>
    <xf numFmtId="165" fontId="5" fillId="4" borderId="1" xfId="0" applyNumberFormat="1" applyFont="1" applyFill="1" applyBorder="1" applyAlignment="1">
      <alignment horizontal="center" vertical="center"/>
    </xf>
    <xf numFmtId="0" fontId="27" fillId="0" borderId="1" xfId="0" applyFont="1" applyBorder="1" applyAlignment="1">
      <alignment vertical="top" wrapText="1"/>
    </xf>
    <xf numFmtId="0" fontId="27" fillId="0" borderId="1" xfId="0" applyFont="1" applyBorder="1" applyAlignment="1">
      <alignment wrapText="1"/>
    </xf>
    <xf numFmtId="0" fontId="45" fillId="0" borderId="1" xfId="1" applyFont="1" applyBorder="1" applyAlignment="1">
      <alignment horizontal="left" vertical="top" wrapText="1"/>
    </xf>
    <xf numFmtId="0" fontId="27" fillId="0" borderId="5" xfId="0" applyFont="1" applyBorder="1" applyAlignment="1">
      <alignment vertical="top" wrapText="1"/>
    </xf>
    <xf numFmtId="0" fontId="27" fillId="0" borderId="0" xfId="1" applyFont="1" applyAlignment="1">
      <alignment wrapText="1"/>
    </xf>
    <xf numFmtId="0" fontId="45" fillId="0" borderId="1" xfId="1" quotePrefix="1" applyFont="1" applyBorder="1" applyAlignment="1">
      <alignment horizontal="center" vertical="top" wrapText="1"/>
    </xf>
    <xf numFmtId="0" fontId="45" fillId="0" borderId="5" xfId="1" quotePrefix="1" applyFont="1" applyBorder="1" applyAlignment="1">
      <alignment horizontal="center" vertical="top" wrapText="1"/>
    </xf>
    <xf numFmtId="0" fontId="27" fillId="0" borderId="0" xfId="1" applyFont="1" applyAlignment="1">
      <alignment vertical="top" wrapText="1"/>
    </xf>
    <xf numFmtId="0" fontId="27" fillId="0" borderId="0" xfId="1" applyFont="1" applyAlignment="1">
      <alignment horizontal="center" vertical="top" wrapText="1"/>
    </xf>
    <xf numFmtId="0" fontId="50" fillId="0" borderId="8" xfId="1" applyFont="1" applyBorder="1" applyAlignment="1">
      <alignment horizontal="center" vertical="top" wrapText="1"/>
    </xf>
    <xf numFmtId="0" fontId="50" fillId="0" borderId="4" xfId="1" applyFont="1" applyBorder="1" applyAlignment="1">
      <alignment horizontal="center" vertical="top" wrapText="1"/>
    </xf>
    <xf numFmtId="0" fontId="27" fillId="0" borderId="4" xfId="1" applyFont="1" applyBorder="1" applyAlignment="1">
      <alignment vertical="top" wrapText="1"/>
    </xf>
    <xf numFmtId="0" fontId="27" fillId="0" borderId="5" xfId="1" applyFont="1" applyBorder="1" applyAlignment="1">
      <alignment vertical="top" wrapText="1"/>
    </xf>
    <xf numFmtId="0" fontId="2" fillId="0" borderId="0" xfId="1" applyAlignment="1">
      <alignment vertical="top"/>
    </xf>
    <xf numFmtId="0" fontId="6" fillId="0" borderId="1" xfId="1" quotePrefix="1" applyFont="1" applyBorder="1" applyAlignment="1">
      <alignment horizontal="center" vertical="top" wrapText="1"/>
    </xf>
    <xf numFmtId="0" fontId="28" fillId="0" borderId="0" xfId="1" applyFont="1" applyAlignment="1">
      <alignment vertical="top"/>
    </xf>
    <xf numFmtId="0" fontId="28" fillId="0" borderId="0" xfId="1" applyFont="1" applyAlignment="1">
      <alignment horizontal="left" vertical="top"/>
    </xf>
    <xf numFmtId="0" fontId="27" fillId="0" borderId="4" xfId="1" applyFont="1" applyBorder="1" applyAlignment="1">
      <alignment vertical="top"/>
    </xf>
    <xf numFmtId="0" fontId="15" fillId="0" borderId="4" xfId="1" applyFont="1" applyBorder="1" applyAlignment="1">
      <alignment horizontal="left" vertical="top"/>
    </xf>
    <xf numFmtId="0" fontId="15" fillId="0" borderId="4" xfId="1" applyFont="1" applyBorder="1" applyAlignment="1">
      <alignment vertical="top"/>
    </xf>
    <xf numFmtId="0" fontId="27" fillId="0" borderId="1" xfId="1" applyFont="1" applyBorder="1" applyAlignment="1">
      <alignment vertical="top"/>
    </xf>
    <xf numFmtId="0" fontId="0" fillId="0" borderId="0" xfId="0" applyAlignment="1">
      <alignment vertical="top"/>
    </xf>
    <xf numFmtId="0" fontId="2" fillId="0" borderId="0" xfId="1" applyAlignment="1">
      <alignment horizontal="center" vertical="top" wrapText="1"/>
    </xf>
    <xf numFmtId="0" fontId="15" fillId="0" borderId="1" xfId="1" quotePrefix="1" applyFont="1" applyBorder="1" applyAlignment="1">
      <alignment horizontal="center" vertical="top" wrapText="1"/>
    </xf>
    <xf numFmtId="0" fontId="44" fillId="0" borderId="1" xfId="0" applyFont="1" applyBorder="1" applyAlignment="1">
      <alignment horizontal="center" vertical="top" wrapText="1"/>
    </xf>
    <xf numFmtId="0" fontId="0" fillId="0" borderId="0" xfId="0" applyAlignment="1">
      <alignment horizontal="center" vertical="top" wrapText="1"/>
    </xf>
    <xf numFmtId="0" fontId="15" fillId="0" borderId="8" xfId="1" applyFont="1" applyBorder="1" applyAlignment="1">
      <alignment horizontal="center" vertical="top" wrapText="1"/>
    </xf>
    <xf numFmtId="0" fontId="15" fillId="0" borderId="4" xfId="1" applyFont="1" applyBorder="1" applyAlignment="1">
      <alignment horizontal="center" vertical="top"/>
    </xf>
    <xf numFmtId="0" fontId="5" fillId="0" borderId="4" xfId="1" applyFont="1" applyBorder="1" applyAlignment="1">
      <alignment horizontal="center" vertical="top"/>
    </xf>
    <xf numFmtId="0" fontId="5" fillId="0" borderId="5" xfId="1" applyFont="1" applyBorder="1" applyAlignment="1">
      <alignment horizontal="center" vertical="top"/>
    </xf>
    <xf numFmtId="0" fontId="0" fillId="0" borderId="0" xfId="0" applyAlignment="1">
      <alignment horizontal="center" vertical="top"/>
    </xf>
    <xf numFmtId="0" fontId="27" fillId="0" borderId="0" xfId="0" applyFont="1" applyAlignment="1">
      <alignment wrapText="1"/>
    </xf>
    <xf numFmtId="0" fontId="27" fillId="0" borderId="0" xfId="0" applyFont="1"/>
    <xf numFmtId="0" fontId="50" fillId="0" borderId="1" xfId="1" quotePrefix="1" applyFont="1" applyBorder="1" applyAlignment="1">
      <alignment horizontal="center" vertical="center" wrapText="1"/>
    </xf>
    <xf numFmtId="0" fontId="55" fillId="0" borderId="15" xfId="0" applyFont="1" applyBorder="1" applyAlignment="1">
      <alignment horizontal="center" vertical="top"/>
    </xf>
    <xf numFmtId="1" fontId="14" fillId="0" borderId="15" xfId="0" applyNumberFormat="1" applyFont="1" applyBorder="1" applyAlignment="1">
      <alignment vertical="center" wrapText="1"/>
    </xf>
    <xf numFmtId="0" fontId="5" fillId="0" borderId="15" xfId="0" applyFont="1" applyBorder="1" applyAlignment="1">
      <alignment horizontal="left" vertical="top" wrapText="1"/>
    </xf>
    <xf numFmtId="0" fontId="63" fillId="0" borderId="15" xfId="0" applyFont="1" applyBorder="1" applyAlignment="1">
      <alignment horizontal="center" vertical="top"/>
    </xf>
    <xf numFmtId="0" fontId="64" fillId="0" borderId="15" xfId="0" applyFont="1" applyBorder="1" applyAlignment="1">
      <alignment horizontal="left" vertical="center" wrapText="1"/>
    </xf>
    <xf numFmtId="1" fontId="62" fillId="0" borderId="15" xfId="0" applyNumberFormat="1" applyFont="1" applyBorder="1" applyAlignment="1">
      <alignment horizontal="center" vertical="top"/>
    </xf>
    <xf numFmtId="0" fontId="27" fillId="0" borderId="15" xfId="0" applyFont="1" applyBorder="1" applyAlignment="1">
      <alignment vertical="top" wrapText="1"/>
    </xf>
    <xf numFmtId="165" fontId="5" fillId="0" borderId="12" xfId="0" quotePrefix="1" applyNumberFormat="1" applyFont="1" applyBorder="1" applyAlignment="1">
      <alignment horizontal="center" vertical="top" wrapText="1"/>
    </xf>
    <xf numFmtId="0" fontId="47" fillId="0" borderId="15" xfId="0" applyFont="1" applyBorder="1" applyAlignment="1">
      <alignment vertical="center" wrapText="1"/>
    </xf>
    <xf numFmtId="0" fontId="5" fillId="0" borderId="5" xfId="0" applyFont="1" applyBorder="1" applyAlignment="1">
      <alignment horizontal="center" vertical="top" wrapText="1"/>
    </xf>
    <xf numFmtId="167" fontId="6" fillId="0" borderId="1" xfId="1" applyNumberFormat="1" applyFont="1" applyBorder="1" applyAlignment="1">
      <alignment horizontal="center" vertical="top" wrapText="1"/>
    </xf>
    <xf numFmtId="0" fontId="5" fillId="0" borderId="14" xfId="0" applyFont="1" applyBorder="1" applyAlignment="1">
      <alignment horizontal="center" vertical="top" wrapText="1"/>
    </xf>
    <xf numFmtId="0" fontId="5" fillId="0" borderId="15" xfId="0" applyFont="1" applyBorder="1" applyAlignment="1">
      <alignment vertical="top" wrapText="1"/>
    </xf>
    <xf numFmtId="0" fontId="7" fillId="0" borderId="1" xfId="1" applyFont="1" applyBorder="1" applyAlignment="1">
      <alignment horizontal="center" vertical="top" wrapText="1"/>
    </xf>
    <xf numFmtId="1" fontId="48" fillId="0" borderId="15" xfId="0" applyNumberFormat="1" applyFont="1" applyBorder="1" applyAlignment="1">
      <alignment horizontal="center" vertical="top"/>
    </xf>
    <xf numFmtId="165" fontId="5" fillId="0" borderId="3" xfId="0" quotePrefix="1" applyNumberFormat="1" applyFont="1" applyBorder="1" applyAlignment="1">
      <alignment horizontal="center" vertical="top" wrapText="1"/>
    </xf>
    <xf numFmtId="165" fontId="5" fillId="0" borderId="3" xfId="0" applyNumberFormat="1" applyFont="1" applyBorder="1" applyAlignment="1">
      <alignment horizontal="center" vertical="top" wrapText="1"/>
    </xf>
    <xf numFmtId="9" fontId="43" fillId="0" borderId="1" xfId="18" applyNumberFormat="1" applyFont="1" applyBorder="1" applyAlignment="1">
      <alignment horizontal="center" vertical="top"/>
    </xf>
    <xf numFmtId="0" fontId="6" fillId="0" borderId="1" xfId="14" applyFont="1" applyBorder="1" applyAlignment="1">
      <alignment horizontal="center" vertical="top" wrapText="1"/>
    </xf>
    <xf numFmtId="9" fontId="6" fillId="0" borderId="1" xfId="14" applyNumberFormat="1" applyFont="1" applyBorder="1" applyAlignment="1">
      <alignment horizontal="center" vertical="top" wrapText="1"/>
    </xf>
    <xf numFmtId="0" fontId="35" fillId="0" borderId="1" xfId="0" applyFont="1" applyBorder="1" applyAlignment="1">
      <alignment horizontal="center" vertical="top" wrapText="1"/>
    </xf>
    <xf numFmtId="0" fontId="32" fillId="0" borderId="1" xfId="0" applyFont="1" applyBorder="1" applyAlignment="1">
      <alignment horizontal="center" vertical="top" wrapText="1"/>
    </xf>
    <xf numFmtId="165" fontId="8" fillId="0" borderId="1" xfId="0" quotePrefix="1" applyNumberFormat="1" applyFont="1" applyBorder="1" applyAlignment="1">
      <alignment horizontal="center" vertical="top" wrapText="1"/>
    </xf>
    <xf numFmtId="0" fontId="27" fillId="0" borderId="1" xfId="0" applyFont="1" applyBorder="1" applyAlignment="1">
      <alignment horizontal="left" vertical="top" wrapText="1"/>
    </xf>
    <xf numFmtId="0" fontId="15" fillId="0" borderId="15" xfId="0" applyFont="1" applyBorder="1" applyAlignment="1">
      <alignment horizontal="center" vertical="top" wrapText="1"/>
    </xf>
    <xf numFmtId="1" fontId="35" fillId="0" borderId="1" xfId="0" applyNumberFormat="1" applyFont="1" applyBorder="1" applyAlignment="1">
      <alignment horizontal="center" vertical="top"/>
    </xf>
    <xf numFmtId="0" fontId="32" fillId="0" borderId="1" xfId="1" applyFont="1" applyBorder="1" applyAlignment="1">
      <alignment horizontal="center" vertical="top" wrapText="1"/>
    </xf>
    <xf numFmtId="0" fontId="6" fillId="0" borderId="1" xfId="1" applyFont="1" applyBorder="1" applyAlignment="1">
      <alignment horizontal="left" vertical="top" wrapText="1" readingOrder="1"/>
    </xf>
    <xf numFmtId="9" fontId="6" fillId="0" borderId="1" xfId="1" applyNumberFormat="1" applyFont="1" applyBorder="1" applyAlignment="1">
      <alignment horizontal="center" vertical="top"/>
    </xf>
    <xf numFmtId="0" fontId="35" fillId="0" borderId="1" xfId="0" applyFont="1" applyBorder="1" applyAlignment="1">
      <alignment horizontal="center" vertical="top"/>
    </xf>
    <xf numFmtId="9" fontId="11" fillId="0" borderId="1" xfId="1" applyNumberFormat="1" applyFont="1" applyBorder="1" applyAlignment="1">
      <alignment horizontal="center" vertical="top"/>
    </xf>
    <xf numFmtId="0" fontId="45" fillId="0" borderId="1" xfId="1" applyFont="1" applyBorder="1" applyAlignment="1">
      <alignment horizontal="center" vertical="top" wrapText="1"/>
    </xf>
    <xf numFmtId="0" fontId="45" fillId="0" borderId="1" xfId="17" applyFont="1" applyBorder="1" applyAlignment="1">
      <alignment vertical="top" wrapText="1"/>
    </xf>
    <xf numFmtId="0" fontId="45" fillId="0" borderId="16" xfId="17" applyFont="1" applyBorder="1" applyAlignment="1">
      <alignment vertical="top" wrapText="1"/>
    </xf>
    <xf numFmtId="0" fontId="27" fillId="0" borderId="1" xfId="17" applyFont="1" applyBorder="1" applyAlignment="1">
      <alignment vertical="top" wrapText="1"/>
    </xf>
    <xf numFmtId="0" fontId="27" fillId="0" borderId="16" xfId="17" applyFont="1" applyBorder="1" applyAlignment="1">
      <alignment vertical="top" wrapText="1"/>
    </xf>
    <xf numFmtId="0" fontId="50" fillId="0" borderId="1" xfId="0" applyFont="1" applyBorder="1" applyAlignment="1">
      <alignment horizontal="left" vertical="top" wrapText="1"/>
    </xf>
    <xf numFmtId="0" fontId="9" fillId="0" borderId="1" xfId="1" applyFont="1" applyBorder="1" applyAlignment="1">
      <alignment horizontal="center" vertical="top" wrapText="1"/>
    </xf>
    <xf numFmtId="9" fontId="5" fillId="0" borderId="1" xfId="1" applyNumberFormat="1" applyFont="1" applyBorder="1" applyAlignment="1">
      <alignment horizontal="center" vertical="top"/>
    </xf>
    <xf numFmtId="0" fontId="15" fillId="0" borderId="15" xfId="0" applyFont="1" applyBorder="1" applyAlignment="1">
      <alignment horizontal="center" vertical="top"/>
    </xf>
    <xf numFmtId="0" fontId="5" fillId="0" borderId="15" xfId="214" applyFont="1" applyBorder="1" applyAlignment="1">
      <alignment horizontal="center" vertical="top"/>
    </xf>
    <xf numFmtId="0" fontId="6" fillId="0" borderId="1" xfId="1" applyFont="1" applyBorder="1" applyAlignment="1">
      <alignment horizontal="justify" vertical="top" wrapText="1"/>
    </xf>
    <xf numFmtId="9" fontId="6" fillId="0" borderId="1" xfId="2" applyFont="1" applyFill="1" applyBorder="1" applyAlignment="1">
      <alignment horizontal="left" vertical="top" wrapText="1"/>
    </xf>
    <xf numFmtId="0" fontId="51" fillId="0" borderId="15" xfId="0" applyFont="1" applyBorder="1" applyAlignment="1">
      <alignment horizontal="left" vertical="top"/>
    </xf>
    <xf numFmtId="0" fontId="58" fillId="0" borderId="1" xfId="0" applyFont="1" applyBorder="1" applyAlignment="1">
      <alignment horizontal="center" vertical="top"/>
    </xf>
    <xf numFmtId="0" fontId="59" fillId="0" borderId="1" xfId="0" applyFont="1" applyBorder="1" applyAlignment="1">
      <alignment horizontal="center" vertical="top"/>
    </xf>
    <xf numFmtId="0" fontId="27" fillId="0" borderId="5" xfId="0" applyFont="1" applyBorder="1" applyAlignment="1">
      <alignment horizontal="left" vertical="top" wrapText="1"/>
    </xf>
    <xf numFmtId="0" fontId="55" fillId="0" borderId="15" xfId="213" applyFont="1" applyBorder="1" applyAlignment="1">
      <alignment horizontal="center" vertical="top"/>
    </xf>
    <xf numFmtId="0" fontId="45" fillId="0" borderId="1" xfId="0" applyFont="1" applyBorder="1" applyAlignment="1">
      <alignment vertical="top" wrapText="1"/>
    </xf>
    <xf numFmtId="10" fontId="5" fillId="0" borderId="1" xfId="1" applyNumberFormat="1" applyFont="1" applyBorder="1" applyAlignment="1">
      <alignment horizontal="center" vertical="top"/>
    </xf>
    <xf numFmtId="9" fontId="5" fillId="0" borderId="1" xfId="1" applyNumberFormat="1" applyFont="1" applyBorder="1" applyAlignment="1">
      <alignment horizontal="center" vertical="top" wrapText="1"/>
    </xf>
    <xf numFmtId="0" fontId="8" fillId="0" borderId="1" xfId="0" applyFont="1" applyBorder="1" applyAlignment="1">
      <alignment horizontal="center" vertical="top"/>
    </xf>
    <xf numFmtId="0" fontId="5" fillId="0" borderId="1" xfId="0" applyFont="1" applyBorder="1" applyAlignment="1">
      <alignment vertical="center"/>
    </xf>
    <xf numFmtId="0" fontId="5" fillId="0" borderId="15" xfId="4" applyFont="1" applyBorder="1" applyAlignment="1">
      <alignment horizontal="center" vertical="top"/>
    </xf>
    <xf numFmtId="0" fontId="5" fillId="0" borderId="1" xfId="1" applyFont="1" applyBorder="1" applyAlignment="1">
      <alignment horizontal="justify" vertical="top" wrapText="1"/>
    </xf>
    <xf numFmtId="0" fontId="45" fillId="0" borderId="1" xfId="18" applyFont="1" applyBorder="1" applyAlignment="1">
      <alignment horizontal="left" vertical="top" wrapText="1"/>
    </xf>
    <xf numFmtId="165" fontId="6" fillId="0" borderId="1" xfId="0" applyNumberFormat="1" applyFont="1" applyBorder="1" applyAlignment="1">
      <alignment horizontal="center" vertical="top"/>
    </xf>
    <xf numFmtId="0" fontId="53" fillId="0" borderId="15" xfId="0" applyFont="1" applyBorder="1" applyAlignment="1">
      <alignment horizontal="center" vertical="top"/>
    </xf>
    <xf numFmtId="0" fontId="53" fillId="0" borderId="19" xfId="0" applyFont="1" applyBorder="1" applyAlignment="1">
      <alignment horizontal="center" vertical="top"/>
    </xf>
    <xf numFmtId="0" fontId="6" fillId="0" borderId="10" xfId="1" applyFont="1" applyBorder="1" applyAlignment="1">
      <alignment horizontal="left" vertical="top" wrapText="1"/>
    </xf>
    <xf numFmtId="0" fontId="45" fillId="0" borderId="3" xfId="1" applyFont="1" applyBorder="1" applyAlignment="1">
      <alignment horizontal="left" vertical="top" wrapText="1"/>
    </xf>
    <xf numFmtId="0" fontId="54" fillId="0" borderId="15" xfId="0" applyFont="1" applyBorder="1" applyAlignment="1">
      <alignment horizontal="center" vertical="top"/>
    </xf>
    <xf numFmtId="0" fontId="54" fillId="0" borderId="19" xfId="0" applyFont="1" applyBorder="1" applyAlignment="1">
      <alignment horizontal="center" vertical="top"/>
    </xf>
    <xf numFmtId="0" fontId="18" fillId="0" borderId="15" xfId="0" applyFont="1" applyBorder="1" applyAlignment="1">
      <alignment vertical="top"/>
    </xf>
    <xf numFmtId="0" fontId="18" fillId="0" borderId="1" xfId="0" applyFont="1" applyBorder="1" applyAlignment="1">
      <alignment vertical="top"/>
    </xf>
    <xf numFmtId="165" fontId="18" fillId="0" borderId="1" xfId="0" applyNumberFormat="1" applyFont="1" applyBorder="1" applyAlignment="1">
      <alignment vertical="top"/>
    </xf>
    <xf numFmtId="0" fontId="56" fillId="0" borderId="16" xfId="0" applyFont="1" applyBorder="1"/>
    <xf numFmtId="0" fontId="8" fillId="0" borderId="4" xfId="0" applyFont="1" applyBorder="1" applyAlignment="1">
      <alignment vertical="top"/>
    </xf>
    <xf numFmtId="0" fontId="2" fillId="0" borderId="1" xfId="1" applyBorder="1" applyAlignment="1">
      <alignment vertical="top" wrapText="1"/>
    </xf>
    <xf numFmtId="0" fontId="27" fillId="0" borderId="11" xfId="1" applyFont="1" applyBorder="1" applyAlignment="1">
      <alignment horizontal="left" vertical="top" wrapText="1"/>
    </xf>
    <xf numFmtId="0" fontId="5" fillId="0" borderId="5" xfId="0" applyFont="1" applyBorder="1" applyAlignment="1">
      <alignment horizontal="left" vertical="top" wrapText="1"/>
    </xf>
    <xf numFmtId="2" fontId="5" fillId="0" borderId="1" xfId="0" quotePrefix="1" applyNumberFormat="1" applyFont="1" applyBorder="1" applyAlignment="1">
      <alignment horizontal="center" vertical="top"/>
    </xf>
    <xf numFmtId="0" fontId="27" fillId="0" borderId="0" xfId="0" applyFont="1" applyAlignment="1">
      <alignment vertical="top" wrapText="1"/>
    </xf>
    <xf numFmtId="167" fontId="6" fillId="0" borderId="1" xfId="1" applyNumberFormat="1" applyFont="1" applyBorder="1" applyAlignment="1">
      <alignment horizontal="center" vertical="top"/>
    </xf>
    <xf numFmtId="167" fontId="6" fillId="0" borderId="1" xfId="2" applyNumberFormat="1" applyFont="1" applyFill="1" applyBorder="1" applyAlignment="1">
      <alignment horizontal="center" vertical="top"/>
    </xf>
    <xf numFmtId="0" fontId="10" fillId="0" borderId="1" xfId="1" applyFont="1" applyBorder="1" applyAlignment="1">
      <alignment vertical="top"/>
    </xf>
    <xf numFmtId="0" fontId="57" fillId="0" borderId="1" xfId="0" applyFont="1" applyBorder="1" applyAlignment="1">
      <alignment vertical="top" wrapText="1"/>
    </xf>
    <xf numFmtId="0" fontId="8" fillId="0" borderId="5" xfId="0" applyFont="1" applyBorder="1" applyAlignment="1">
      <alignment vertical="top" wrapText="1"/>
    </xf>
    <xf numFmtId="0" fontId="10" fillId="0" borderId="1" xfId="1" applyFont="1" applyBorder="1" applyAlignment="1">
      <alignment horizontal="left" vertical="top" wrapText="1"/>
    </xf>
    <xf numFmtId="1" fontId="5" fillId="0" borderId="1" xfId="0" quotePrefix="1" applyNumberFormat="1" applyFont="1" applyBorder="1" applyAlignment="1">
      <alignment horizontal="center" vertical="top" wrapText="1"/>
    </xf>
    <xf numFmtId="166" fontId="5" fillId="0" borderId="1" xfId="0" applyNumberFormat="1" applyFont="1" applyBorder="1" applyAlignment="1">
      <alignment horizontal="center" vertical="top" wrapText="1"/>
    </xf>
    <xf numFmtId="0" fontId="14" fillId="0" borderId="3" xfId="1" applyFont="1" applyBorder="1" applyAlignment="1">
      <alignment vertical="top"/>
    </xf>
    <xf numFmtId="0" fontId="14" fillId="0" borderId="4" xfId="1" applyFont="1" applyBorder="1" applyAlignment="1">
      <alignment vertical="top"/>
    </xf>
    <xf numFmtId="0" fontId="14" fillId="0" borderId="5" xfId="1" applyFont="1" applyBorder="1" applyAlignment="1">
      <alignment vertical="top"/>
    </xf>
    <xf numFmtId="0" fontId="14" fillId="0" borderId="3" xfId="1" applyFont="1" applyBorder="1" applyAlignment="1">
      <alignment horizontal="left" vertical="top" wrapText="1"/>
    </xf>
    <xf numFmtId="0" fontId="14" fillId="0" borderId="4" xfId="1" applyFont="1" applyBorder="1" applyAlignment="1">
      <alignment horizontal="left" vertical="top" wrapText="1"/>
    </xf>
    <xf numFmtId="0" fontId="14" fillId="0" borderId="5" xfId="1" applyFont="1" applyBorder="1" applyAlignment="1">
      <alignment horizontal="left" vertical="top" wrapText="1"/>
    </xf>
    <xf numFmtId="0" fontId="7" fillId="0" borderId="3" xfId="1" applyFont="1" applyBorder="1" applyAlignment="1">
      <alignment horizontal="left" vertical="center" wrapText="1"/>
    </xf>
    <xf numFmtId="0" fontId="7" fillId="0" borderId="4" xfId="1" applyFont="1" applyBorder="1" applyAlignment="1">
      <alignment horizontal="left" vertical="center" wrapText="1"/>
    </xf>
    <xf numFmtId="0" fontId="8" fillId="0" borderId="0" xfId="1" applyFont="1" applyAlignment="1">
      <alignment horizontal="right" wrapText="1"/>
    </xf>
    <xf numFmtId="0" fontId="15" fillId="0" borderId="0" xfId="1" applyFont="1" applyAlignment="1">
      <alignment horizontal="center"/>
    </xf>
    <xf numFmtId="0" fontId="15" fillId="0" borderId="1" xfId="1" applyFont="1" applyBorder="1" applyAlignment="1">
      <alignment horizontal="center" vertical="center" wrapText="1"/>
    </xf>
    <xf numFmtId="0" fontId="15" fillId="0" borderId="6"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5" xfId="1" applyFont="1" applyBorder="1" applyAlignment="1">
      <alignment horizontal="center" vertical="center"/>
    </xf>
    <xf numFmtId="0" fontId="14" fillId="0" borderId="0" xfId="1" applyFont="1" applyAlignment="1">
      <alignment horizontal="center" wrapText="1"/>
    </xf>
    <xf numFmtId="0" fontId="5" fillId="0" borderId="2"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9" xfId="1" applyFont="1" applyBorder="1" applyAlignment="1">
      <alignment horizontal="center" vertical="center" wrapText="1"/>
    </xf>
    <xf numFmtId="0" fontId="7" fillId="0" borderId="3" xfId="1" applyFont="1" applyBorder="1" applyAlignment="1">
      <alignment horizontal="left" vertical="top" wrapText="1"/>
    </xf>
    <xf numFmtId="0" fontId="7" fillId="0" borderId="4" xfId="1" applyFont="1" applyBorder="1" applyAlignment="1">
      <alignment horizontal="left" vertical="top" wrapText="1"/>
    </xf>
    <xf numFmtId="0" fontId="5" fillId="0" borderId="1" xfId="1" applyFont="1" applyBorder="1" applyAlignment="1">
      <alignment horizontal="left" vertical="top" wrapText="1"/>
    </xf>
    <xf numFmtId="0" fontId="6" fillId="0" borderId="1" xfId="1" applyFont="1" applyBorder="1" applyAlignment="1">
      <alignment horizontal="left" vertical="top" wrapText="1"/>
    </xf>
    <xf numFmtId="0" fontId="6" fillId="0" borderId="3" xfId="1" applyFont="1" applyBorder="1" applyAlignment="1">
      <alignment horizontal="left" vertical="top" wrapText="1"/>
    </xf>
    <xf numFmtId="0" fontId="6" fillId="0" borderId="5" xfId="1" applyFont="1" applyBorder="1" applyAlignment="1">
      <alignment horizontal="left" vertical="top" wrapText="1"/>
    </xf>
    <xf numFmtId="0" fontId="7" fillId="0" borderId="1" xfId="1" applyFont="1" applyBorder="1" applyAlignment="1">
      <alignment horizontal="left" vertical="top" wrapText="1"/>
    </xf>
    <xf numFmtId="0" fontId="7" fillId="0" borderId="1" xfId="1" applyFont="1" applyBorder="1" applyAlignment="1">
      <alignment horizontal="left" vertical="top"/>
    </xf>
    <xf numFmtId="0" fontId="5" fillId="0" borderId="1" xfId="1" applyFont="1" applyBorder="1" applyAlignment="1">
      <alignment horizontal="left" vertical="top"/>
    </xf>
    <xf numFmtId="0" fontId="15" fillId="0" borderId="3" xfId="1" applyFont="1" applyBorder="1" applyAlignment="1">
      <alignment horizontal="left" vertical="center" wrapText="1"/>
    </xf>
    <xf numFmtId="0" fontId="15" fillId="0" borderId="4" xfId="1" applyFont="1" applyBorder="1" applyAlignment="1">
      <alignment horizontal="left" vertical="center" wrapText="1"/>
    </xf>
    <xf numFmtId="0" fontId="8" fillId="0" borderId="1" xfId="1" applyFont="1" applyBorder="1" applyAlignment="1">
      <alignment horizontal="left" vertical="top" wrapText="1"/>
    </xf>
    <xf numFmtId="0" fontId="15" fillId="0" borderId="3" xfId="1" applyFont="1" applyBorder="1" applyAlignment="1">
      <alignment horizontal="left" vertical="center"/>
    </xf>
    <xf numFmtId="0" fontId="15" fillId="0" borderId="4" xfId="1" applyFont="1" applyBorder="1" applyAlignment="1">
      <alignment horizontal="left" vertical="center"/>
    </xf>
    <xf numFmtId="0" fontId="29" fillId="0" borderId="0" xfId="1" applyFont="1" applyAlignment="1">
      <alignment horizontal="left" vertical="center" wrapText="1"/>
    </xf>
    <xf numFmtId="0" fontId="7" fillId="0" borderId="5" xfId="1" applyFont="1" applyBorder="1" applyAlignment="1">
      <alignment horizontal="left" vertical="top" wrapText="1"/>
    </xf>
    <xf numFmtId="21" fontId="7" fillId="0" borderId="3" xfId="1" quotePrefix="1" applyNumberFormat="1" applyFont="1" applyBorder="1" applyAlignment="1">
      <alignment horizontal="left" vertical="top" wrapText="1"/>
    </xf>
    <xf numFmtId="21" fontId="7" fillId="0" borderId="4" xfId="1" quotePrefix="1" applyNumberFormat="1" applyFont="1" applyBorder="1" applyAlignment="1">
      <alignment horizontal="left" vertical="top" wrapText="1"/>
    </xf>
    <xf numFmtId="21" fontId="7" fillId="0" borderId="5" xfId="1" quotePrefix="1" applyNumberFormat="1" applyFont="1" applyBorder="1" applyAlignment="1">
      <alignment horizontal="left" vertical="top" wrapText="1"/>
    </xf>
    <xf numFmtId="0" fontId="8" fillId="0" borderId="3" xfId="1" applyFont="1" applyBorder="1" applyAlignment="1">
      <alignment horizontal="left" vertical="top"/>
    </xf>
    <xf numFmtId="0" fontId="8" fillId="0" borderId="4" xfId="1" applyFont="1" applyBorder="1" applyAlignment="1">
      <alignment horizontal="left" vertical="top"/>
    </xf>
    <xf numFmtId="0" fontId="8" fillId="0" borderId="5" xfId="1" applyFont="1" applyBorder="1" applyAlignment="1">
      <alignment horizontal="left" vertical="top"/>
    </xf>
    <xf numFmtId="0" fontId="8" fillId="0" borderId="3" xfId="1" applyFont="1" applyBorder="1" applyAlignment="1">
      <alignment horizontal="left" vertical="top" wrapText="1"/>
    </xf>
    <xf numFmtId="0" fontId="8" fillId="0" borderId="4" xfId="1" applyFont="1" applyBorder="1" applyAlignment="1">
      <alignment horizontal="left" vertical="top" wrapText="1"/>
    </xf>
    <xf numFmtId="0" fontId="8" fillId="0" borderId="5" xfId="1" applyFont="1" applyBorder="1" applyAlignment="1">
      <alignment horizontal="left" vertical="top" wrapText="1"/>
    </xf>
    <xf numFmtId="0" fontId="27" fillId="0" borderId="6" xfId="1" applyFont="1" applyBorder="1" applyAlignment="1">
      <alignment horizontal="center" vertical="top" wrapText="1"/>
    </xf>
    <xf numFmtId="0" fontId="27" fillId="0" borderId="7" xfId="1" applyFont="1" applyBorder="1" applyAlignment="1">
      <alignment horizontal="center" vertical="top" wrapText="1"/>
    </xf>
    <xf numFmtId="0" fontId="5" fillId="0" borderId="1" xfId="1" applyFont="1" applyBorder="1" applyAlignment="1">
      <alignment horizontal="center" vertical="center" wrapText="1"/>
    </xf>
    <xf numFmtId="0" fontId="6" fillId="0" borderId="1" xfId="1" quotePrefix="1" applyFont="1" applyBorder="1" applyAlignment="1">
      <alignment horizontal="center" vertical="center" wrapText="1"/>
    </xf>
    <xf numFmtId="0" fontId="24" fillId="0" borderId="0" xfId="1" applyFont="1" applyAlignment="1">
      <alignment horizontal="center" vertical="center" wrapText="1"/>
    </xf>
    <xf numFmtId="0" fontId="27" fillId="0" borderId="1" xfId="1" applyFont="1" applyBorder="1" applyAlignment="1">
      <alignment horizontal="center" vertical="top" wrapText="1"/>
    </xf>
    <xf numFmtId="15" fontId="7" fillId="0" borderId="0" xfId="1" quotePrefix="1" applyNumberFormat="1" applyFont="1" applyAlignment="1">
      <alignment horizontal="right" vertical="top"/>
    </xf>
    <xf numFmtId="0" fontId="6" fillId="0" borderId="0" xfId="1" applyFont="1" applyAlignment="1">
      <alignment horizontal="left" vertical="top" wrapText="1"/>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0" fontId="6" fillId="0" borderId="1" xfId="1" applyFont="1" applyBorder="1" applyAlignment="1">
      <alignment horizontal="center" vertical="top" wrapText="1"/>
    </xf>
    <xf numFmtId="0" fontId="8" fillId="0" borderId="1" xfId="1" applyFont="1" applyBorder="1" applyAlignment="1">
      <alignment horizontal="left" vertical="top"/>
    </xf>
    <xf numFmtId="0" fontId="6" fillId="0" borderId="1" xfId="1" applyFont="1" applyBorder="1" applyAlignment="1">
      <alignment horizontal="left" vertical="top"/>
    </xf>
    <xf numFmtId="0" fontId="15" fillId="0" borderId="10" xfId="1" applyFont="1" applyBorder="1" applyAlignment="1">
      <alignment horizontal="left" vertical="center"/>
    </xf>
    <xf numFmtId="0" fontId="15" fillId="0" borderId="0" xfId="1" applyFont="1" applyAlignment="1">
      <alignment horizontal="left" vertical="center"/>
    </xf>
    <xf numFmtId="0" fontId="5" fillId="0" borderId="0" xfId="1" applyFont="1" applyAlignment="1">
      <alignment horizontal="right" vertical="center" wrapText="1"/>
    </xf>
    <xf numFmtId="0" fontId="8" fillId="0" borderId="0" xfId="1" applyFont="1" applyAlignment="1">
      <alignment horizontal="center" vertical="center" wrapText="1"/>
    </xf>
    <xf numFmtId="0" fontId="6" fillId="0" borderId="2"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6"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7" xfId="1" applyFont="1" applyBorder="1" applyAlignment="1">
      <alignment horizontal="center" vertical="center" wrapText="1"/>
    </xf>
    <xf numFmtId="0" fontId="27" fillId="0" borderId="1" xfId="1" applyFont="1" applyBorder="1" applyAlignment="1">
      <alignment horizontal="center" vertical="center" wrapText="1"/>
    </xf>
    <xf numFmtId="0" fontId="27" fillId="0" borderId="6" xfId="1" applyFont="1" applyBorder="1" applyAlignment="1">
      <alignment horizontal="center" vertical="center" wrapText="1"/>
    </xf>
    <xf numFmtId="0" fontId="27" fillId="0" borderId="7" xfId="1" applyFont="1" applyBorder="1" applyAlignment="1">
      <alignment horizontal="center" vertical="center" wrapText="1"/>
    </xf>
    <xf numFmtId="0" fontId="7" fillId="0" borderId="1" xfId="1" applyFont="1" applyBorder="1" applyAlignment="1">
      <alignment horizontal="left" wrapText="1"/>
    </xf>
    <xf numFmtId="0" fontId="6" fillId="0" borderId="1" xfId="14" applyFont="1" applyBorder="1" applyAlignment="1">
      <alignment horizontal="left" vertical="top" wrapText="1"/>
    </xf>
    <xf numFmtId="0" fontId="5" fillId="0" borderId="1" xfId="1" quotePrefix="1" applyFont="1" applyBorder="1" applyAlignment="1">
      <alignment horizontal="center" vertical="center" wrapText="1"/>
    </xf>
    <xf numFmtId="0" fontId="7" fillId="0" borderId="1" xfId="1" applyFont="1" applyBorder="1" applyAlignment="1">
      <alignment horizontal="left" vertical="center" wrapText="1"/>
    </xf>
    <xf numFmtId="0" fontId="7" fillId="0" borderId="1" xfId="1" applyFont="1" applyBorder="1" applyAlignment="1">
      <alignment vertical="top" wrapText="1"/>
    </xf>
    <xf numFmtId="0" fontId="5" fillId="0" borderId="3" xfId="1" applyFont="1" applyBorder="1" applyAlignment="1">
      <alignment horizontal="left" wrapText="1"/>
    </xf>
    <xf numFmtId="0" fontId="5" fillId="0" borderId="4" xfId="1" applyFont="1" applyBorder="1" applyAlignment="1">
      <alignment horizontal="left" wrapText="1"/>
    </xf>
    <xf numFmtId="0" fontId="7" fillId="0" borderId="1" xfId="1" quotePrefix="1" applyFont="1" applyBorder="1" applyAlignment="1">
      <alignment horizontal="left" vertical="top" wrapText="1"/>
    </xf>
    <xf numFmtId="0" fontId="7" fillId="0" borderId="3" xfId="1" applyFont="1" applyBorder="1" applyAlignment="1">
      <alignment horizontal="left" vertical="top"/>
    </xf>
    <xf numFmtId="0" fontId="7" fillId="0" borderId="4" xfId="1" applyFont="1" applyBorder="1" applyAlignment="1">
      <alignment horizontal="left" vertical="top"/>
    </xf>
    <xf numFmtId="0" fontId="7" fillId="0" borderId="5" xfId="1" applyFont="1" applyBorder="1" applyAlignment="1">
      <alignment horizontal="left" vertical="top"/>
    </xf>
    <xf numFmtId="0" fontId="8" fillId="0" borderId="0" xfId="1" applyFont="1" applyAlignment="1">
      <alignment horizontal="right"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 xfId="1" applyFont="1" applyBorder="1" applyAlignment="1">
      <alignment horizontal="center" wrapText="1"/>
    </xf>
    <xf numFmtId="1" fontId="5" fillId="0" borderId="1" xfId="1" applyNumberFormat="1" applyFont="1" applyBorder="1" applyAlignment="1">
      <alignment horizontal="center" vertical="center" wrapText="1"/>
    </xf>
    <xf numFmtId="0" fontId="7" fillId="3" borderId="1" xfId="1" applyFont="1" applyFill="1" applyBorder="1" applyAlignment="1">
      <alignment horizontal="left" vertical="top" wrapText="1"/>
    </xf>
    <xf numFmtId="0" fontId="0" fillId="0" borderId="1" xfId="0" applyBorder="1" applyAlignment="1">
      <alignment horizontal="center" wrapText="1"/>
    </xf>
    <xf numFmtId="0" fontId="7" fillId="3" borderId="1" xfId="1" applyFont="1" applyFill="1" applyBorder="1" applyAlignment="1">
      <alignment horizontal="left" vertical="center" wrapText="1"/>
    </xf>
    <xf numFmtId="21" fontId="7" fillId="0" borderId="1" xfId="1" quotePrefix="1" applyNumberFormat="1" applyFont="1" applyBorder="1" applyAlignment="1">
      <alignment horizontal="left" vertical="top" wrapText="1"/>
    </xf>
    <xf numFmtId="0" fontId="14" fillId="4" borderId="3" xfId="1" applyFont="1" applyFill="1" applyBorder="1" applyAlignment="1">
      <alignment horizontal="left" vertical="center" wrapText="1"/>
    </xf>
    <xf numFmtId="0" fontId="14" fillId="4" borderId="5" xfId="1" applyFont="1" applyFill="1" applyBorder="1" applyAlignment="1">
      <alignment horizontal="left" vertical="center" wrapText="1"/>
    </xf>
    <xf numFmtId="0" fontId="14" fillId="3" borderId="3" xfId="1" applyFont="1" applyFill="1" applyBorder="1" applyAlignment="1">
      <alignment horizontal="left" vertical="center" wrapText="1"/>
    </xf>
    <xf numFmtId="0" fontId="14" fillId="3" borderId="5" xfId="1" applyFont="1" applyFill="1" applyBorder="1" applyAlignment="1">
      <alignment horizontal="left" vertical="center" wrapText="1"/>
    </xf>
    <xf numFmtId="0" fontId="7" fillId="4" borderId="3" xfId="1" applyFont="1" applyFill="1" applyBorder="1" applyAlignment="1">
      <alignment horizontal="left" vertical="center" wrapText="1"/>
    </xf>
    <xf numFmtId="0" fontId="7" fillId="4" borderId="5" xfId="1" applyFont="1" applyFill="1" applyBorder="1" applyAlignment="1">
      <alignment horizontal="left" vertical="center" wrapText="1"/>
    </xf>
  </cellXfs>
  <cellStyles count="217">
    <cellStyle name="Comma [0] 2" xfId="3" xr:uid="{00000000-0005-0000-0000-000000000000}"/>
    <cellStyle name="Comma [0] 2 2" xfId="5" xr:uid="{00000000-0005-0000-0000-000001000000}"/>
    <cellStyle name="Comma [0] 2 2 2" xfId="21" xr:uid="{00000000-0005-0000-0000-000002000000}"/>
    <cellStyle name="Comma [0] 2 2 2 2" xfId="37" xr:uid="{822CA70C-9F88-4856-9C29-31A536392B4B}"/>
    <cellStyle name="Comma [0] 2 2 2 2 2" xfId="47" xr:uid="{FB4C101C-EB02-46C4-AB59-962B87ADF418}"/>
    <cellStyle name="Comma [0] 2 2 2 2 2 2" xfId="68" xr:uid="{E6CD7B5B-B2A3-4966-8D6C-CAFAA212C460}"/>
    <cellStyle name="Comma [0] 2 2 2 2 2 2 2" xfId="111" xr:uid="{1566980C-6227-44D7-8B37-DEB82596361B}"/>
    <cellStyle name="Comma [0] 2 2 2 2 2 2 2 2" xfId="197" xr:uid="{29D8BF9B-F8F6-4CDB-8CC4-D6A92030D9A3}"/>
    <cellStyle name="Comma [0] 2 2 2 2 2 2 3" xfId="154" xr:uid="{A781E2DC-9AF1-4CF4-8D14-7D86931105C5}"/>
    <cellStyle name="Comma [0] 2 2 2 2 2 3" xfId="90" xr:uid="{3240AC23-FD76-4E89-942E-D0C65CE903C9}"/>
    <cellStyle name="Comma [0] 2 2 2 2 2 3 2" xfId="176" xr:uid="{EC6F3C79-7C60-438E-AF26-136067EC4A6C}"/>
    <cellStyle name="Comma [0] 2 2 2 2 2 4" xfId="134" xr:uid="{10F50960-1D94-46E8-83B1-8A45387767BD}"/>
    <cellStyle name="Comma [0] 2 2 2 2 3" xfId="58" xr:uid="{122F267B-C4AF-47E0-B926-4938E6631769}"/>
    <cellStyle name="Comma [0] 2 2 2 2 3 2" xfId="101" xr:uid="{B4C41956-42B7-450E-8AC7-9273541A2034}"/>
    <cellStyle name="Comma [0] 2 2 2 2 3 2 2" xfId="187" xr:uid="{D64125D8-8E9F-408A-8764-4CA9E4AD6CD2}"/>
    <cellStyle name="Comma [0] 2 2 2 2 3 3" xfId="144" xr:uid="{9B3E2CD0-EE8E-4ECF-81EC-C40965BE2717}"/>
    <cellStyle name="Comma [0] 2 2 2 2 4" xfId="80" xr:uid="{FCA7244F-E826-4C79-9CBF-A640293BAF38}"/>
    <cellStyle name="Comma [0] 2 2 2 2 4 2" xfId="166" xr:uid="{6ACCF238-DE99-492D-A960-70F23EAAAD90}"/>
    <cellStyle name="Comma [0] 2 2 2 2 5" xfId="124" xr:uid="{755EFFCC-35D7-4531-8ED1-5B6CC5FE33AA}"/>
    <cellStyle name="Comma [0] 2 2 2 3" xfId="42" xr:uid="{E9E35DA6-3A57-4A69-B9E2-AF7A5ECB24E6}"/>
    <cellStyle name="Comma [0] 2 2 2 3 2" xfId="63" xr:uid="{EF9F0993-7A8D-443C-8DC0-7EEEC8B76B34}"/>
    <cellStyle name="Comma [0] 2 2 2 3 2 2" xfId="106" xr:uid="{4E1E8E03-19F0-42E9-BFD4-681C129E3251}"/>
    <cellStyle name="Comma [0] 2 2 2 3 2 2 2" xfId="192" xr:uid="{44C9A43C-13F6-45FB-9468-925F8E1D3583}"/>
    <cellStyle name="Comma [0] 2 2 2 3 2 3" xfId="149" xr:uid="{100D8F30-4EF8-4269-A176-2A083FBB783B}"/>
    <cellStyle name="Comma [0] 2 2 2 3 3" xfId="85" xr:uid="{25C0801C-D344-4547-B060-24FD0BF588F1}"/>
    <cellStyle name="Comma [0] 2 2 2 3 3 2" xfId="171" xr:uid="{BC8F5335-DABD-4C32-B19A-71CAC3DA9FE2}"/>
    <cellStyle name="Comma [0] 2 2 2 3 4" xfId="129" xr:uid="{8EF522BF-BF06-43A3-8F4B-EA1A39B86BAA}"/>
    <cellStyle name="Comma [0] 2 2 2 4" xfId="53" xr:uid="{32E59A09-13A5-49E4-82D2-4263706388ED}"/>
    <cellStyle name="Comma [0] 2 2 2 4 2" xfId="96" xr:uid="{0DDC36DB-5460-48FD-95CB-AB22C5E232F1}"/>
    <cellStyle name="Comma [0] 2 2 2 4 2 2" xfId="182" xr:uid="{E25D75A3-7BD3-4ECA-9DA1-5EC22C3F99B4}"/>
    <cellStyle name="Comma [0] 2 2 2 4 3" xfId="139" xr:uid="{2CDCB59A-90FE-4164-AE77-0FA021ACB259}"/>
    <cellStyle name="Comma [0] 2 2 2 5" xfId="75" xr:uid="{B189741E-56B5-4EDE-909C-7B265F5D1FC6}"/>
    <cellStyle name="Comma [0] 2 2 2 5 2" xfId="161" xr:uid="{96545D2F-A051-4C9F-ABD5-042989AEA35D}"/>
    <cellStyle name="Comma [0] 2 2 2 6" xfId="119" xr:uid="{AFA133A8-33AA-4F2F-B7CC-380293623339}"/>
    <cellStyle name="Comma [0] 2 2 2 7" xfId="208" xr:uid="{9E59D57F-88BA-4F88-8960-85193287E221}"/>
    <cellStyle name="Comma [0] 2 2 2 8" xfId="30" xr:uid="{5909C0A4-D8E1-4CD6-A2C3-788479CA5A76}"/>
    <cellStyle name="Comma [0] 2 3" xfId="8" xr:uid="{00000000-0005-0000-0000-000003000000}"/>
    <cellStyle name="Comma [0] 2 3 2" xfId="22" xr:uid="{00000000-0005-0000-0000-000004000000}"/>
    <cellStyle name="Comma [0] 2 3 2 2" xfId="38" xr:uid="{82ADBFCA-6A01-4418-A26C-0D2DA3781044}"/>
    <cellStyle name="Comma [0] 2 3 2 2 2" xfId="48" xr:uid="{A49B34DD-72B6-4F42-844A-2E9EF39B48E7}"/>
    <cellStyle name="Comma [0] 2 3 2 2 2 2" xfId="69" xr:uid="{D6FE6AC5-04FB-4831-88C8-D502D3B7289E}"/>
    <cellStyle name="Comma [0] 2 3 2 2 2 2 2" xfId="112" xr:uid="{B490DE6B-1409-4961-A4FB-D8252176ECB8}"/>
    <cellStyle name="Comma [0] 2 3 2 2 2 2 2 2" xfId="198" xr:uid="{0DC60354-9CFA-48F2-BBC7-4D3507C792E0}"/>
    <cellStyle name="Comma [0] 2 3 2 2 2 2 3" xfId="155" xr:uid="{32DE40E8-65E0-4E28-B8E0-4676BC363B2F}"/>
    <cellStyle name="Comma [0] 2 3 2 2 2 3" xfId="91" xr:uid="{44E4C9A6-F124-4A89-B6F4-1C82F6D401A7}"/>
    <cellStyle name="Comma [0] 2 3 2 2 2 3 2" xfId="177" xr:uid="{72446928-2047-4B9C-8FB3-2F61FAB97CE0}"/>
    <cellStyle name="Comma [0] 2 3 2 2 2 4" xfId="135" xr:uid="{F002ECDC-B75E-41CC-BD19-76159A0A7292}"/>
    <cellStyle name="Comma [0] 2 3 2 2 3" xfId="59" xr:uid="{1D3A7A37-D3CF-4D10-A463-C92BDCA1FD19}"/>
    <cellStyle name="Comma [0] 2 3 2 2 3 2" xfId="102" xr:uid="{6D42303F-4D2C-486E-9743-BAEFEDE95097}"/>
    <cellStyle name="Comma [0] 2 3 2 2 3 2 2" xfId="188" xr:uid="{4D97085F-07C5-4265-915C-7B8875565870}"/>
    <cellStyle name="Comma [0] 2 3 2 2 3 3" xfId="145" xr:uid="{D29D0258-E9DB-42A4-A5B6-75778AF1CDFE}"/>
    <cellStyle name="Comma [0] 2 3 2 2 4" xfId="81" xr:uid="{6D6161F0-3390-4B77-923F-C18874AA9A43}"/>
    <cellStyle name="Comma [0] 2 3 2 2 4 2" xfId="167" xr:uid="{6CF67E54-BA23-4B6F-BD33-3B478F7F5DA2}"/>
    <cellStyle name="Comma [0] 2 3 2 2 5" xfId="125" xr:uid="{4518BC9D-D77B-41A3-9716-C265F82B0460}"/>
    <cellStyle name="Comma [0] 2 3 2 3" xfId="43" xr:uid="{303E8F39-7B3D-4475-BCAA-2E36B6362524}"/>
    <cellStyle name="Comma [0] 2 3 2 3 2" xfId="64" xr:uid="{381941C5-BAD3-4DF5-9AB7-FD5A3BD60FAF}"/>
    <cellStyle name="Comma [0] 2 3 2 3 2 2" xfId="107" xr:uid="{F0138BF9-3C2B-4F6A-86FA-9BF5F1FBF15E}"/>
    <cellStyle name="Comma [0] 2 3 2 3 2 2 2" xfId="193" xr:uid="{30ABAB8D-EB10-476A-9521-F1656C583E90}"/>
    <cellStyle name="Comma [0] 2 3 2 3 2 3" xfId="150" xr:uid="{D4B84DCA-8236-4F23-8DA1-A186A1C353A0}"/>
    <cellStyle name="Comma [0] 2 3 2 3 3" xfId="86" xr:uid="{E7B49A72-09B1-4394-82CC-A65907F21FE3}"/>
    <cellStyle name="Comma [0] 2 3 2 3 3 2" xfId="172" xr:uid="{F1F0983B-FB6A-4701-8AFC-E456A2AEA357}"/>
    <cellStyle name="Comma [0] 2 3 2 3 4" xfId="130" xr:uid="{C782007A-29C9-410D-BCAC-F0D6BA3CC76E}"/>
    <cellStyle name="Comma [0] 2 3 2 4" xfId="54" xr:uid="{E9C24F18-411D-45D0-8DC6-B7BE9008B4DA}"/>
    <cellStyle name="Comma [0] 2 3 2 4 2" xfId="97" xr:uid="{EDAD3D86-F318-475A-8697-6734F79C74A9}"/>
    <cellStyle name="Comma [0] 2 3 2 4 2 2" xfId="183" xr:uid="{7C7FA27B-DF0C-42E7-9FD4-D7FD35F09E49}"/>
    <cellStyle name="Comma [0] 2 3 2 4 3" xfId="140" xr:uid="{9A42F372-B87C-4D76-B8AD-055A9F36D291}"/>
    <cellStyle name="Comma [0] 2 3 2 5" xfId="76" xr:uid="{B3B913DC-46A5-46EE-B254-BA35BFA173B2}"/>
    <cellStyle name="Comma [0] 2 3 2 5 2" xfId="162" xr:uid="{6BB90C5F-87F0-48ED-A6EE-E767DB638818}"/>
    <cellStyle name="Comma [0] 2 3 2 6" xfId="120" xr:uid="{D0A86261-55BC-4C49-AD05-45895C21274C}"/>
    <cellStyle name="Comma [0] 2 3 2 7" xfId="209" xr:uid="{C29EBB02-A392-4DDD-88F1-579F410620B8}"/>
    <cellStyle name="Comma [0] 2 3 2 8" xfId="31" xr:uid="{16F9F16A-A218-47E4-B590-10E94297694A}"/>
    <cellStyle name="Comma [0] 2 4" xfId="11" xr:uid="{00000000-0005-0000-0000-000005000000}"/>
    <cellStyle name="Comma [0] 2 4 2" xfId="15" xr:uid="{00000000-0005-0000-0000-000006000000}"/>
    <cellStyle name="Comma [0] 2 4 2 2" xfId="24" xr:uid="{00000000-0005-0000-0000-000007000000}"/>
    <cellStyle name="Comma [0] 2 4 2 2 2" xfId="40" xr:uid="{AE568B6B-B54D-429B-A264-295A036F52E1}"/>
    <cellStyle name="Comma [0] 2 4 2 2 2 2" xfId="50" xr:uid="{960ACB9C-1623-4033-8567-B0D786B6B388}"/>
    <cellStyle name="Comma [0] 2 4 2 2 2 2 2" xfId="71" xr:uid="{2679BACC-AB79-45A6-B79B-85EF9355BFC2}"/>
    <cellStyle name="Comma [0] 2 4 2 2 2 2 2 2" xfId="114" xr:uid="{8EA7B687-2822-4C30-98E8-F301540EB694}"/>
    <cellStyle name="Comma [0] 2 4 2 2 2 2 2 2 2" xfId="200" xr:uid="{48D98A1B-997D-440F-BD92-97264078867E}"/>
    <cellStyle name="Comma [0] 2 4 2 2 2 2 2 3" xfId="157" xr:uid="{EB21A728-2D7C-41D6-9530-AC8AF51E4897}"/>
    <cellStyle name="Comma [0] 2 4 2 2 2 2 3" xfId="93" xr:uid="{AEFCCA85-436F-43DF-8199-740972E9AE08}"/>
    <cellStyle name="Comma [0] 2 4 2 2 2 2 3 2" xfId="179" xr:uid="{AE8ECFEB-C8C6-437C-B8FA-76AC924329CC}"/>
    <cellStyle name="Comma [0] 2 4 2 2 2 2 4" xfId="137" xr:uid="{73E4A25D-D9AE-4F4A-9439-6E1A2F72E68D}"/>
    <cellStyle name="Comma [0] 2 4 2 2 2 3" xfId="61" xr:uid="{FAB50EC8-BDEB-4C5D-B7B0-C49E005CA8E0}"/>
    <cellStyle name="Comma [0] 2 4 2 2 2 3 2" xfId="104" xr:uid="{B175C1F1-FC3E-41F0-A548-87C191A225F7}"/>
    <cellStyle name="Comma [0] 2 4 2 2 2 3 2 2" xfId="190" xr:uid="{2058B831-6392-4B86-83EA-EEF7D1437976}"/>
    <cellStyle name="Comma [0] 2 4 2 2 2 3 3" xfId="147" xr:uid="{6FAC9DB8-5A0A-42EE-925A-8B3CC13769A4}"/>
    <cellStyle name="Comma [0] 2 4 2 2 2 4" xfId="83" xr:uid="{24DDE869-AF14-463D-91EB-55D46DA3FFEA}"/>
    <cellStyle name="Comma [0] 2 4 2 2 2 4 2" xfId="169" xr:uid="{9619847D-9814-4AA1-ACC3-DC289A1412FF}"/>
    <cellStyle name="Comma [0] 2 4 2 2 2 5" xfId="127" xr:uid="{A45B2DA0-8CE1-4BDF-B78C-2290B761F4F4}"/>
    <cellStyle name="Comma [0] 2 4 2 2 3" xfId="45" xr:uid="{13AEB15A-9C93-4AEA-BF74-DD2BC17174F1}"/>
    <cellStyle name="Comma [0] 2 4 2 2 3 2" xfId="66" xr:uid="{291C8970-3D6A-4F64-8202-6C5C69F49D37}"/>
    <cellStyle name="Comma [0] 2 4 2 2 3 2 2" xfId="109" xr:uid="{1BAB4381-E1A1-4A22-B863-15C3CE5168F4}"/>
    <cellStyle name="Comma [0] 2 4 2 2 3 2 2 2" xfId="195" xr:uid="{F1C2A1AE-75B5-44D3-B79F-0DD84491300D}"/>
    <cellStyle name="Comma [0] 2 4 2 2 3 2 3" xfId="152" xr:uid="{6873FA57-3295-47C9-936F-569668FA983E}"/>
    <cellStyle name="Comma [0] 2 4 2 2 3 3" xfId="88" xr:uid="{47893C77-DBE9-4E9D-AED0-593001C0EFC2}"/>
    <cellStyle name="Comma [0] 2 4 2 2 3 3 2" xfId="174" xr:uid="{425337D1-851F-47EE-81C5-9CC2C131BCAA}"/>
    <cellStyle name="Comma [0] 2 4 2 2 3 4" xfId="132" xr:uid="{9159EDFE-82E4-4E69-821A-F5459121568B}"/>
    <cellStyle name="Comma [0] 2 4 2 2 4" xfId="56" xr:uid="{2C31CBD0-515F-44C8-B1AC-DCE490E49CCD}"/>
    <cellStyle name="Comma [0] 2 4 2 2 4 2" xfId="99" xr:uid="{6AA55894-2571-44F0-A6AB-890FDC3CBE32}"/>
    <cellStyle name="Comma [0] 2 4 2 2 4 2 2" xfId="185" xr:uid="{E868C4D8-0A1B-403B-A6EC-14950A8E96AE}"/>
    <cellStyle name="Comma [0] 2 4 2 2 4 3" xfId="142" xr:uid="{2613FEC5-9665-4FBC-8DB5-38D1B76905A7}"/>
    <cellStyle name="Comma [0] 2 4 2 2 5" xfId="78" xr:uid="{E8FAA6C1-5963-4019-B4DA-02EDC11FCC0D}"/>
    <cellStyle name="Comma [0] 2 4 2 2 5 2" xfId="164" xr:uid="{317873E4-C662-4DEA-8C44-0A2DA69548DB}"/>
    <cellStyle name="Comma [0] 2 4 2 2 6" xfId="122" xr:uid="{A5D0FFCB-8853-443C-8BD6-3C0FDC477743}"/>
    <cellStyle name="Comma [0] 2 4 2 2 7" xfId="211" xr:uid="{4D70CC4D-E3CB-4EE6-AB42-7D2DE3055584}"/>
    <cellStyle name="Comma [0] 2 4 2 2 8" xfId="33" xr:uid="{90E7C8F0-7CBB-481F-BC0B-DF0E13EB0344}"/>
    <cellStyle name="Comma [0] 2 4 3" xfId="23" xr:uid="{00000000-0005-0000-0000-000008000000}"/>
    <cellStyle name="Comma [0] 2 4 3 2" xfId="39" xr:uid="{C5E4BAEB-856F-4C79-A30B-8E8EFF5A97C4}"/>
    <cellStyle name="Comma [0] 2 4 3 2 2" xfId="49" xr:uid="{98EA27D5-8E5B-4CFA-9739-FB501F7A4BD8}"/>
    <cellStyle name="Comma [0] 2 4 3 2 2 2" xfId="70" xr:uid="{D01CBC24-B8EB-4836-8314-71B47179152C}"/>
    <cellStyle name="Comma [0] 2 4 3 2 2 2 2" xfId="113" xr:uid="{283E588A-25CA-4241-9A5F-CE2848A50B5E}"/>
    <cellStyle name="Comma [0] 2 4 3 2 2 2 2 2" xfId="199" xr:uid="{DD3ED557-A8C1-49C6-8813-10A7DE229ACF}"/>
    <cellStyle name="Comma [0] 2 4 3 2 2 2 3" xfId="156" xr:uid="{05617A80-21B0-4865-9B29-F3723E8B02CE}"/>
    <cellStyle name="Comma [0] 2 4 3 2 2 3" xfId="92" xr:uid="{64FED3FE-BF65-4771-B2E5-C8CF4A4976F2}"/>
    <cellStyle name="Comma [0] 2 4 3 2 2 3 2" xfId="178" xr:uid="{E01AFC9C-33B9-4B37-8139-A86923E39C20}"/>
    <cellStyle name="Comma [0] 2 4 3 2 2 4" xfId="136" xr:uid="{48832D69-16F6-4C8F-8EEE-964957EADC73}"/>
    <cellStyle name="Comma [0] 2 4 3 2 3" xfId="60" xr:uid="{A069F992-1369-467E-A545-9F4DF0605DD3}"/>
    <cellStyle name="Comma [0] 2 4 3 2 3 2" xfId="103" xr:uid="{73E2786C-7C9E-4A60-88E8-356AFB47F4B5}"/>
    <cellStyle name="Comma [0] 2 4 3 2 3 2 2" xfId="189" xr:uid="{DDC2E577-CC5C-450D-9B56-6067381FD5BA}"/>
    <cellStyle name="Comma [0] 2 4 3 2 3 3" xfId="146" xr:uid="{ECB3826F-96B3-41B4-B2B2-68F0543CBF13}"/>
    <cellStyle name="Comma [0] 2 4 3 2 4" xfId="82" xr:uid="{AA2302A8-1143-4AD4-BF51-17584848F041}"/>
    <cellStyle name="Comma [0] 2 4 3 2 4 2" xfId="168" xr:uid="{221459E4-5513-49DC-B92B-5CE487D41793}"/>
    <cellStyle name="Comma [0] 2 4 3 2 5" xfId="126" xr:uid="{14B814A9-C4BF-43FA-A0A1-B60AC42040BC}"/>
    <cellStyle name="Comma [0] 2 4 3 3" xfId="44" xr:uid="{4672FB7A-8309-4D66-9212-B6662B57576A}"/>
    <cellStyle name="Comma [0] 2 4 3 3 2" xfId="65" xr:uid="{31C14129-1011-4613-823F-5D4C0B189B1E}"/>
    <cellStyle name="Comma [0] 2 4 3 3 2 2" xfId="108" xr:uid="{DDABD820-FD35-4262-A4BC-89D8241B6827}"/>
    <cellStyle name="Comma [0] 2 4 3 3 2 2 2" xfId="194" xr:uid="{8F063E28-42D3-4B49-9C91-D6794F2B6217}"/>
    <cellStyle name="Comma [0] 2 4 3 3 2 3" xfId="151" xr:uid="{B94D465A-DCD2-4DFD-9158-26D31E93722B}"/>
    <cellStyle name="Comma [0] 2 4 3 3 3" xfId="87" xr:uid="{40DC3A00-6A5E-447B-BE08-9A5A1C0806F5}"/>
    <cellStyle name="Comma [0] 2 4 3 3 3 2" xfId="173" xr:uid="{B6ED8C0F-12E9-42A6-A131-49AA6BB8E281}"/>
    <cellStyle name="Comma [0] 2 4 3 3 4" xfId="131" xr:uid="{A998B714-E210-450E-B2A3-29423DE303A5}"/>
    <cellStyle name="Comma [0] 2 4 3 4" xfId="55" xr:uid="{FA27E3F4-929E-4B51-814E-7C558D4C8BF6}"/>
    <cellStyle name="Comma [0] 2 4 3 4 2" xfId="98" xr:uid="{177F68D3-1BBB-49A6-B00D-7E2821B39D03}"/>
    <cellStyle name="Comma [0] 2 4 3 4 2 2" xfId="184" xr:uid="{A47BE422-C7F1-434E-BC81-00FCF58C2208}"/>
    <cellStyle name="Comma [0] 2 4 3 4 3" xfId="141" xr:uid="{A7C4F6C5-A129-48B8-AF78-D40CD5F97966}"/>
    <cellStyle name="Comma [0] 2 4 3 5" xfId="77" xr:uid="{85037563-1CBB-4412-AE91-DED28FF91056}"/>
    <cellStyle name="Comma [0] 2 4 3 5 2" xfId="163" xr:uid="{1E57C2D9-E338-4FD6-9738-0DC486A1825E}"/>
    <cellStyle name="Comma [0] 2 4 3 6" xfId="121" xr:uid="{875EF9CB-18A3-4AE4-9A7E-842AF2ED0CCC}"/>
    <cellStyle name="Comma [0] 2 4 3 7" xfId="210" xr:uid="{AA0E4463-645D-4D05-8690-6334FDD6EA2F}"/>
    <cellStyle name="Comma [0] 2 4 3 8" xfId="32" xr:uid="{179CAD07-E4B6-49D1-91C8-AA76F293ECFE}"/>
    <cellStyle name="Comma [0] 2 5" xfId="20" xr:uid="{00000000-0005-0000-0000-000009000000}"/>
    <cellStyle name="Comma [0] 2 5 2" xfId="36" xr:uid="{65D0B4E8-AEAA-4B5D-9D47-1E9B4A71B35D}"/>
    <cellStyle name="Comma [0] 2 5 2 2" xfId="46" xr:uid="{7F511044-F188-4C55-AF63-0D02A69C5579}"/>
    <cellStyle name="Comma [0] 2 5 2 2 2" xfId="67" xr:uid="{0822582D-D63A-4CD3-A0DC-87D38F707669}"/>
    <cellStyle name="Comma [0] 2 5 2 2 2 2" xfId="110" xr:uid="{F179EFED-F591-49A3-BA8B-C8EB358D4AAA}"/>
    <cellStyle name="Comma [0] 2 5 2 2 2 2 2" xfId="196" xr:uid="{3A9B1F89-EEF5-47CF-827F-89CED575F46C}"/>
    <cellStyle name="Comma [0] 2 5 2 2 2 3" xfId="153" xr:uid="{1D7736F2-F560-477A-A916-35C90A312BF3}"/>
    <cellStyle name="Comma [0] 2 5 2 2 3" xfId="89" xr:uid="{58324EDE-1287-4E16-B8AA-2C975E2BE6D9}"/>
    <cellStyle name="Comma [0] 2 5 2 2 3 2" xfId="175" xr:uid="{94CB150B-B84A-41CD-B4A0-1388CC2B2CFC}"/>
    <cellStyle name="Comma [0] 2 5 2 2 4" xfId="133" xr:uid="{7C56346D-C351-4F94-91E5-38A78E8227D5}"/>
    <cellStyle name="Comma [0] 2 5 2 3" xfId="57" xr:uid="{BB7B0A82-5D9D-4C94-A627-75FDD7F22780}"/>
    <cellStyle name="Comma [0] 2 5 2 3 2" xfId="100" xr:uid="{37F4F2ED-97FB-4D33-8106-A7A95DF56B39}"/>
    <cellStyle name="Comma [0] 2 5 2 3 2 2" xfId="186" xr:uid="{6BB7A0FB-99B1-4874-A4E9-419382CB29C5}"/>
    <cellStyle name="Comma [0] 2 5 2 3 3" xfId="143" xr:uid="{5C5B0C97-B131-4124-9E14-00656DD22E7E}"/>
    <cellStyle name="Comma [0] 2 5 2 4" xfId="79" xr:uid="{CE7778DB-ABBA-48C0-B5FC-22E3831A13AC}"/>
    <cellStyle name="Comma [0] 2 5 2 4 2" xfId="165" xr:uid="{9CEE369E-6D28-42FE-894D-16C55EBEE019}"/>
    <cellStyle name="Comma [0] 2 5 2 5" xfId="123" xr:uid="{D337CF85-CF55-4ACD-969C-07977CC147C7}"/>
    <cellStyle name="Comma [0] 2 5 3" xfId="41" xr:uid="{2E51B061-B14C-40B6-8AC0-CF6C29EE59F6}"/>
    <cellStyle name="Comma [0] 2 5 3 2" xfId="62" xr:uid="{4C7717CD-0512-45BD-99FC-D724531022C7}"/>
    <cellStyle name="Comma [0] 2 5 3 2 2" xfId="105" xr:uid="{6DEC11A8-489A-451A-B278-9E5B3D02EDAD}"/>
    <cellStyle name="Comma [0] 2 5 3 2 2 2" xfId="191" xr:uid="{6D9EF8E4-8DE8-4EDA-A769-BF4056ED17D3}"/>
    <cellStyle name="Comma [0] 2 5 3 2 3" xfId="148" xr:uid="{87F029D3-9E3E-4677-B25B-B0344D4F7477}"/>
    <cellStyle name="Comma [0] 2 5 3 3" xfId="84" xr:uid="{5F09B654-BB0D-42FD-99F4-F230D2F9D476}"/>
    <cellStyle name="Comma [0] 2 5 3 3 2" xfId="170" xr:uid="{BB4A8F27-A452-455E-A913-F0CB574DF360}"/>
    <cellStyle name="Comma [0] 2 5 3 4" xfId="128" xr:uid="{A1B5224B-A986-4566-B5D0-3310924EC378}"/>
    <cellStyle name="Comma [0] 2 5 4" xfId="52" xr:uid="{F2A1BE61-290B-4953-B1CC-D6FB1C29040F}"/>
    <cellStyle name="Comma [0] 2 5 4 2" xfId="95" xr:uid="{B3BB7F6E-51BA-4430-AFD3-4855716CA644}"/>
    <cellStyle name="Comma [0] 2 5 4 2 2" xfId="181" xr:uid="{4D2B9232-0798-4F14-A288-3CD34A851C68}"/>
    <cellStyle name="Comma [0] 2 5 4 3" xfId="138" xr:uid="{0AD55F26-55EE-48C1-AF0D-B489E0AE0167}"/>
    <cellStyle name="Comma [0] 2 5 5" xfId="74" xr:uid="{F3E879D7-F980-4E8F-BC4C-44CF11C5D20E}"/>
    <cellStyle name="Comma [0] 2 5 5 2" xfId="160" xr:uid="{21DC1010-C971-472A-863C-71209DB91246}"/>
    <cellStyle name="Comma [0] 2 5 6" xfId="118" xr:uid="{9D35CB58-F00C-4803-A2E7-8AAD64C23A8B}"/>
    <cellStyle name="Comma [0] 2 5 7" xfId="207" xr:uid="{FEBBFF4A-33DE-472C-B381-150FE7E589E0}"/>
    <cellStyle name="Comma [0] 2 5 8" xfId="29" xr:uid="{B06FC760-8406-463F-946A-E5C96424580D}"/>
    <cellStyle name="Comma [0] 3" xfId="215" xr:uid="{E9D2AC5D-0A31-483F-9FD3-17F1CA936644}"/>
    <cellStyle name="Comma 2" xfId="72" xr:uid="{9F72E962-8423-4603-A040-DF00C64AE51D}"/>
    <cellStyle name="Comma 2 2" xfId="115" xr:uid="{467E0639-BD87-4FB8-B1A9-E9A926A79530}"/>
    <cellStyle name="Comma 2 2 2" xfId="201" xr:uid="{F4F5CDDF-6B06-4A5B-BCD8-E5875CC68450}"/>
    <cellStyle name="Comma 2 3" xfId="158" xr:uid="{FF0F09D5-7C1C-479C-8280-C7C70F06A9EC}"/>
    <cellStyle name="Comma 3" xfId="73" xr:uid="{B5E11EDE-E41A-4636-AA82-62C79939AC40}"/>
    <cellStyle name="Comma 3 2" xfId="116" xr:uid="{BCFB99CA-A9AD-4CD0-847E-7859B48230DD}"/>
    <cellStyle name="Comma 3 2 2" xfId="202" xr:uid="{3DA91FCC-9F4F-4DE1-8843-28098EB53445}"/>
    <cellStyle name="Comma 3 3" xfId="159" xr:uid="{6831C31D-BB1C-4779-AA1B-FA569147BAC1}"/>
    <cellStyle name="Comma 4" xfId="94" xr:uid="{2F092D8F-D112-44A1-8F06-D3C51D39A033}"/>
    <cellStyle name="Comma 4 2" xfId="180" xr:uid="{FAF232E5-21FB-4FBC-B276-3B941F61F0A9}"/>
    <cellStyle name="Comma 5" xfId="117" xr:uid="{B8874394-146F-4692-874D-617EC3D3F737}"/>
    <cellStyle name="Comma 5 2" xfId="203" xr:uid="{1EB9BACB-1618-49E8-9B77-3DE002F5E25D}"/>
    <cellStyle name="Normal" xfId="0" builtinId="0"/>
    <cellStyle name="Normal 10" xfId="214" xr:uid="{4D30D5FD-CAB2-4426-8FF8-63884476E68A}"/>
    <cellStyle name="Normal 2" xfId="4" xr:uid="{00000000-0005-0000-0000-00000B000000}"/>
    <cellStyle name="Normal 2 2" xfId="13" xr:uid="{00000000-0005-0000-0000-00000C000000}"/>
    <cellStyle name="Normal 3" xfId="7" xr:uid="{00000000-0005-0000-0000-00000D000000}"/>
    <cellStyle name="Normal 4" xfId="10" xr:uid="{00000000-0005-0000-0000-00000E000000}"/>
    <cellStyle name="Normal 4 2" xfId="14" xr:uid="{00000000-0005-0000-0000-00000F000000}"/>
    <cellStyle name="Normal 4 2 2" xfId="28" xr:uid="{A696BC1B-6B9F-4C6C-8845-CF45BC34460B}"/>
    <cellStyle name="Normal 4 2 2 2" xfId="35" xr:uid="{73A52D61-B4B7-4B64-BEC9-B82071306370}"/>
    <cellStyle name="Normal 5" xfId="1" xr:uid="{00000000-0005-0000-0000-000010000000}"/>
    <cellStyle name="Normal 5 2" xfId="18" xr:uid="{00000000-0005-0000-0000-000011000000}"/>
    <cellStyle name="Normal 5 2 2" xfId="205" xr:uid="{05EE135F-749A-414F-85B1-CBD10679725B}"/>
    <cellStyle name="Normal 5 2 3" xfId="26" xr:uid="{52BA13BC-76A8-4FB3-9DF0-EC8CE9EAB1CD}"/>
    <cellStyle name="Normal 6" xfId="17" xr:uid="{00000000-0005-0000-0000-000012000000}"/>
    <cellStyle name="Normal 6 2" xfId="51" xr:uid="{6122823B-648F-4249-9CFF-9CA6C0F19D38}"/>
    <cellStyle name="Normal 6 3" xfId="204" xr:uid="{F4D305C4-D637-4550-A086-E867E196147D}"/>
    <cellStyle name="Normal 6 4" xfId="25" xr:uid="{4E75A37B-6A06-4DC8-B2A7-37EAA549BEE0}"/>
    <cellStyle name="Normal 7" xfId="34" xr:uid="{EFADB817-65EE-4DD5-9A72-06539A1AB8EF}"/>
    <cellStyle name="Normal 8" xfId="212" xr:uid="{72DF96F2-8191-4F2D-BD84-3E298B2D8ED9}"/>
    <cellStyle name="Normal 9" xfId="213" xr:uid="{BEAEB153-68AB-4214-A37A-5FBEBBA3C213}"/>
    <cellStyle name="Percent 2" xfId="6" xr:uid="{00000000-0005-0000-0000-000013000000}"/>
    <cellStyle name="Percent 3" xfId="9" xr:uid="{00000000-0005-0000-0000-000014000000}"/>
    <cellStyle name="Percent 4" xfId="12" xr:uid="{00000000-0005-0000-0000-000015000000}"/>
    <cellStyle name="Percent 4 2" xfId="16" xr:uid="{00000000-0005-0000-0000-000016000000}"/>
    <cellStyle name="Percent 5" xfId="2" xr:uid="{00000000-0005-0000-0000-000017000000}"/>
    <cellStyle name="Percent 5 2" xfId="19" xr:uid="{00000000-0005-0000-0000-000018000000}"/>
    <cellStyle name="Percent 5 2 2" xfId="206" xr:uid="{90AA8F3A-381F-4CA5-894B-E247164337D0}"/>
    <cellStyle name="Percent 5 2 3" xfId="27" xr:uid="{BFE064CA-9FD8-46CE-A226-98F127C10BFF}"/>
    <cellStyle name="Percent 6" xfId="216" xr:uid="{8D7FA12C-9812-4F2D-A2F5-42D7AC655F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8"/>
  <sheetViews>
    <sheetView tabSelected="1" view="pageBreakPreview" zoomScale="60" zoomScaleNormal="68" workbookViewId="0">
      <selection activeCell="K44" sqref="K44"/>
    </sheetView>
  </sheetViews>
  <sheetFormatPr defaultRowHeight="15" x14ac:dyDescent="0.25"/>
  <cols>
    <col min="1" max="1" width="5" customWidth="1"/>
    <col min="2" max="2" width="16.7109375" customWidth="1"/>
    <col min="3" max="3" width="32.7109375" customWidth="1"/>
    <col min="4" max="4" width="17.5703125" customWidth="1"/>
    <col min="5" max="5" width="21.28515625" customWidth="1"/>
    <col min="6" max="6" width="22" customWidth="1"/>
    <col min="7" max="7" width="30.42578125" customWidth="1"/>
    <col min="8" max="8" width="8.140625" customWidth="1"/>
    <col min="9" max="9" width="12.7109375" customWidth="1"/>
    <col min="10" max="10" width="26.7109375" customWidth="1"/>
    <col min="11" max="11" width="27.140625" customWidth="1"/>
  </cols>
  <sheetData>
    <row r="1" spans="1:12" ht="15.75" x14ac:dyDescent="0.25">
      <c r="A1" s="396" t="s">
        <v>0</v>
      </c>
      <c r="B1" s="396"/>
      <c r="C1" s="396"/>
      <c r="D1" s="396"/>
      <c r="E1" s="396"/>
      <c r="F1" s="396"/>
      <c r="G1" s="396"/>
      <c r="H1" s="22"/>
      <c r="I1" s="22"/>
      <c r="J1" s="22"/>
      <c r="K1" s="22"/>
      <c r="L1" s="1"/>
    </row>
    <row r="2" spans="1:12" x14ac:dyDescent="0.25">
      <c r="H2" s="1"/>
      <c r="I2" s="1"/>
      <c r="J2" s="1"/>
      <c r="K2" s="1"/>
    </row>
    <row r="3" spans="1:12" ht="15.6" customHeight="1" x14ac:dyDescent="0.25">
      <c r="A3" s="404" t="s">
        <v>1198</v>
      </c>
      <c r="B3" s="404"/>
      <c r="C3" s="404"/>
      <c r="D3" s="404"/>
      <c r="E3" s="404"/>
      <c r="F3" s="404"/>
      <c r="G3" s="404"/>
      <c r="H3" s="404"/>
      <c r="I3" s="404"/>
      <c r="J3" s="404"/>
      <c r="K3" s="404"/>
      <c r="L3" s="404"/>
    </row>
    <row r="4" spans="1:12" ht="15.75" x14ac:dyDescent="0.25">
      <c r="A4" s="397"/>
      <c r="B4" s="397"/>
      <c r="C4" s="397"/>
      <c r="D4" s="397"/>
      <c r="E4" s="397"/>
      <c r="F4" s="397"/>
      <c r="G4" s="397"/>
      <c r="H4" s="1"/>
      <c r="I4" s="1"/>
      <c r="J4" s="1"/>
      <c r="K4" s="1"/>
      <c r="L4" s="1"/>
    </row>
    <row r="5" spans="1:12" ht="15" customHeight="1" x14ac:dyDescent="0.25">
      <c r="A5" s="398" t="s">
        <v>1</v>
      </c>
      <c r="B5" s="399" t="s">
        <v>2</v>
      </c>
      <c r="C5" s="398" t="s">
        <v>3</v>
      </c>
      <c r="D5" s="401" t="s">
        <v>4</v>
      </c>
      <c r="E5" s="402"/>
      <c r="F5" s="402"/>
      <c r="G5" s="403"/>
      <c r="H5" s="21" t="s">
        <v>189</v>
      </c>
      <c r="I5" s="405" t="s">
        <v>1112</v>
      </c>
      <c r="J5" s="405" t="s">
        <v>1113</v>
      </c>
      <c r="K5" s="405" t="s">
        <v>206</v>
      </c>
      <c r="L5" s="1"/>
    </row>
    <row r="6" spans="1:12" x14ac:dyDescent="0.25">
      <c r="A6" s="398"/>
      <c r="B6" s="400"/>
      <c r="C6" s="398"/>
      <c r="D6" s="12" t="s">
        <v>5</v>
      </c>
      <c r="E6" s="12" t="s">
        <v>6</v>
      </c>
      <c r="F6" s="12" t="s">
        <v>7</v>
      </c>
      <c r="G6" s="12" t="s">
        <v>8</v>
      </c>
      <c r="H6" s="21"/>
      <c r="I6" s="406"/>
      <c r="J6" s="406"/>
      <c r="K6" s="406"/>
      <c r="L6" s="1"/>
    </row>
    <row r="7" spans="1:12" x14ac:dyDescent="0.25">
      <c r="A7" s="7" t="s">
        <v>9</v>
      </c>
      <c r="B7" s="7" t="s">
        <v>10</v>
      </c>
      <c r="C7" s="7" t="s">
        <v>11</v>
      </c>
      <c r="D7" s="7" t="s">
        <v>12</v>
      </c>
      <c r="E7" s="7" t="s">
        <v>13</v>
      </c>
      <c r="F7" s="7" t="s">
        <v>14</v>
      </c>
      <c r="G7" s="7" t="s">
        <v>15</v>
      </c>
      <c r="H7" s="7" t="s">
        <v>190</v>
      </c>
      <c r="I7" s="406"/>
      <c r="J7" s="406"/>
      <c r="K7" s="406"/>
      <c r="L7" s="8"/>
    </row>
    <row r="8" spans="1:12" ht="21.75" customHeight="1" x14ac:dyDescent="0.25">
      <c r="A8" s="9" t="s">
        <v>16</v>
      </c>
      <c r="B8" s="10"/>
      <c r="C8" s="13"/>
      <c r="D8" s="11"/>
      <c r="E8" s="11"/>
      <c r="F8" s="11"/>
      <c r="G8" s="11"/>
      <c r="H8" s="20"/>
      <c r="I8" s="407"/>
      <c r="J8" s="407"/>
      <c r="K8" s="407"/>
      <c r="L8" s="1"/>
    </row>
    <row r="9" spans="1:12" ht="151.5" customHeight="1" x14ac:dyDescent="0.25">
      <c r="A9" s="16">
        <v>1</v>
      </c>
      <c r="B9" s="14" t="s">
        <v>17</v>
      </c>
      <c r="C9" s="14" t="s">
        <v>18</v>
      </c>
      <c r="D9" s="15" t="s">
        <v>19</v>
      </c>
      <c r="E9" s="15" t="s">
        <v>20</v>
      </c>
      <c r="F9" s="15" t="s">
        <v>21</v>
      </c>
      <c r="G9" s="15" t="s">
        <v>22</v>
      </c>
      <c r="H9" s="219">
        <v>10</v>
      </c>
      <c r="I9" s="155" t="s">
        <v>1122</v>
      </c>
      <c r="J9" s="202"/>
      <c r="K9" s="202"/>
      <c r="L9" s="1"/>
    </row>
    <row r="10" spans="1:12" ht="168" customHeight="1" x14ac:dyDescent="0.25">
      <c r="A10" s="16">
        <v>2</v>
      </c>
      <c r="B10" s="14" t="s">
        <v>23</v>
      </c>
      <c r="C10" s="14" t="s">
        <v>24</v>
      </c>
      <c r="D10" s="15" t="s">
        <v>25</v>
      </c>
      <c r="E10" s="15" t="s">
        <v>26</v>
      </c>
      <c r="F10" s="15" t="s">
        <v>27</v>
      </c>
      <c r="G10" s="15" t="s">
        <v>28</v>
      </c>
      <c r="H10" s="219">
        <v>10</v>
      </c>
      <c r="I10" s="155" t="s">
        <v>1122</v>
      </c>
      <c r="J10" s="202"/>
      <c r="K10" s="202"/>
      <c r="L10" s="1"/>
    </row>
    <row r="11" spans="1:12" ht="138" customHeight="1" x14ac:dyDescent="0.25">
      <c r="A11" s="16">
        <v>3</v>
      </c>
      <c r="B11" s="14" t="s">
        <v>29</v>
      </c>
      <c r="C11" s="14" t="s">
        <v>30</v>
      </c>
      <c r="D11" s="15" t="s">
        <v>31</v>
      </c>
      <c r="E11" s="15" t="s">
        <v>32</v>
      </c>
      <c r="F11" s="15" t="s">
        <v>33</v>
      </c>
      <c r="G11" s="15" t="s">
        <v>34</v>
      </c>
      <c r="H11" s="219">
        <v>10</v>
      </c>
      <c r="I11" s="203" t="s">
        <v>1122</v>
      </c>
      <c r="J11" s="202"/>
      <c r="K11" s="202"/>
      <c r="L11" s="1"/>
    </row>
    <row r="12" spans="1:12" ht="265.5" customHeight="1" x14ac:dyDescent="0.25">
      <c r="A12" s="16">
        <v>4</v>
      </c>
      <c r="B12" s="14" t="s">
        <v>35</v>
      </c>
      <c r="C12" s="14" t="s">
        <v>36</v>
      </c>
      <c r="D12" s="15" t="s">
        <v>37</v>
      </c>
      <c r="E12" s="15" t="s">
        <v>38</v>
      </c>
      <c r="F12" s="15" t="s">
        <v>707</v>
      </c>
      <c r="G12" s="15" t="s">
        <v>39</v>
      </c>
      <c r="H12" s="219">
        <v>10</v>
      </c>
      <c r="I12" s="203" t="s">
        <v>1122</v>
      </c>
      <c r="J12" s="202"/>
      <c r="K12" s="202"/>
      <c r="L12" s="1"/>
    </row>
    <row r="13" spans="1:12" ht="143.25" customHeight="1" x14ac:dyDescent="0.25">
      <c r="A13" s="16">
        <v>5</v>
      </c>
      <c r="B13" s="14" t="s">
        <v>40</v>
      </c>
      <c r="C13" s="14" t="s">
        <v>41</v>
      </c>
      <c r="D13" s="15" t="s">
        <v>37</v>
      </c>
      <c r="E13" s="15" t="s">
        <v>38</v>
      </c>
      <c r="F13" s="15" t="s">
        <v>42</v>
      </c>
      <c r="G13" s="15" t="s">
        <v>43</v>
      </c>
      <c r="H13" s="219">
        <v>10</v>
      </c>
      <c r="I13" s="203" t="s">
        <v>1122</v>
      </c>
      <c r="J13" s="202"/>
      <c r="K13" s="202"/>
      <c r="L13" s="1"/>
    </row>
    <row r="14" spans="1:12" ht="213.75" customHeight="1" x14ac:dyDescent="0.25">
      <c r="A14" s="16">
        <v>6</v>
      </c>
      <c r="B14" s="14" t="s">
        <v>44</v>
      </c>
      <c r="C14" s="14" t="s">
        <v>45</v>
      </c>
      <c r="D14" s="15" t="s">
        <v>46</v>
      </c>
      <c r="E14" s="15" t="s">
        <v>47</v>
      </c>
      <c r="F14" s="15" t="s">
        <v>48</v>
      </c>
      <c r="G14" s="15" t="s">
        <v>49</v>
      </c>
      <c r="H14" s="219">
        <v>10</v>
      </c>
      <c r="I14" s="203" t="s">
        <v>1122</v>
      </c>
      <c r="J14" s="202"/>
      <c r="K14" s="202"/>
      <c r="L14" s="1"/>
    </row>
    <row r="15" spans="1:12" ht="207.75" customHeight="1" x14ac:dyDescent="0.25">
      <c r="A15" s="16">
        <v>7</v>
      </c>
      <c r="B15" s="14" t="s">
        <v>50</v>
      </c>
      <c r="C15" s="3" t="s">
        <v>51</v>
      </c>
      <c r="D15" s="15" t="s">
        <v>52</v>
      </c>
      <c r="E15" s="15" t="s">
        <v>53</v>
      </c>
      <c r="F15" s="15" t="s">
        <v>54</v>
      </c>
      <c r="G15" s="15" t="s">
        <v>55</v>
      </c>
      <c r="H15" s="219">
        <v>10</v>
      </c>
      <c r="I15" s="155" t="s">
        <v>1123</v>
      </c>
      <c r="J15" s="155"/>
      <c r="K15" s="155"/>
      <c r="L15" s="1"/>
    </row>
    <row r="16" spans="1:12" ht="138" customHeight="1" x14ac:dyDescent="0.25">
      <c r="A16" s="16">
        <v>8</v>
      </c>
      <c r="B16" s="3" t="s">
        <v>56</v>
      </c>
      <c r="C16" s="3" t="s">
        <v>57</v>
      </c>
      <c r="D16" s="4" t="s">
        <v>58</v>
      </c>
      <c r="E16" s="4" t="s">
        <v>59</v>
      </c>
      <c r="F16" s="4" t="s">
        <v>60</v>
      </c>
      <c r="G16" s="4" t="s">
        <v>61</v>
      </c>
      <c r="H16" s="219">
        <v>10</v>
      </c>
      <c r="I16" s="203" t="s">
        <v>1122</v>
      </c>
      <c r="J16" s="202"/>
      <c r="K16" s="202"/>
      <c r="L16" s="1"/>
    </row>
    <row r="17" spans="1:11" ht="169.5" customHeight="1" x14ac:dyDescent="0.25">
      <c r="A17" s="16">
        <v>9</v>
      </c>
      <c r="B17" s="14" t="s">
        <v>62</v>
      </c>
      <c r="C17" s="14" t="s">
        <v>63</v>
      </c>
      <c r="D17" s="15" t="s">
        <v>64</v>
      </c>
      <c r="E17" s="15" t="s">
        <v>65</v>
      </c>
      <c r="F17" s="15" t="s">
        <v>66</v>
      </c>
      <c r="G17" s="15" t="s">
        <v>67</v>
      </c>
      <c r="H17" s="219">
        <v>10</v>
      </c>
      <c r="I17" s="203" t="s">
        <v>1122</v>
      </c>
      <c r="J17" s="202"/>
      <c r="K17" s="202"/>
    </row>
    <row r="18" spans="1:11" ht="160.5" customHeight="1" x14ac:dyDescent="0.25">
      <c r="A18" s="16">
        <v>10</v>
      </c>
      <c r="B18" s="14" t="s">
        <v>68</v>
      </c>
      <c r="C18" s="14" t="s">
        <v>69</v>
      </c>
      <c r="D18" s="15" t="s">
        <v>70</v>
      </c>
      <c r="E18" s="15" t="s">
        <v>71</v>
      </c>
      <c r="F18" s="15" t="s">
        <v>72</v>
      </c>
      <c r="G18" s="15" t="s">
        <v>73</v>
      </c>
      <c r="H18" s="219">
        <v>10</v>
      </c>
      <c r="I18" s="203" t="s">
        <v>1122</v>
      </c>
      <c r="J18" s="202"/>
      <c r="K18" s="202"/>
    </row>
    <row r="19" spans="1:11" ht="130.5" customHeight="1" x14ac:dyDescent="0.25">
      <c r="A19" s="16">
        <v>11</v>
      </c>
      <c r="B19" s="14" t="s">
        <v>74</v>
      </c>
      <c r="C19" s="14" t="s">
        <v>75</v>
      </c>
      <c r="D19" s="15" t="s">
        <v>76</v>
      </c>
      <c r="E19" s="15" t="s">
        <v>77</v>
      </c>
      <c r="F19" s="15" t="s">
        <v>78</v>
      </c>
      <c r="G19" s="15" t="s">
        <v>79</v>
      </c>
      <c r="H19" s="219">
        <v>10</v>
      </c>
      <c r="I19" s="203" t="s">
        <v>1122</v>
      </c>
      <c r="J19" s="202"/>
      <c r="K19" s="202"/>
    </row>
    <row r="20" spans="1:11" ht="156" customHeight="1" x14ac:dyDescent="0.25">
      <c r="A20" s="16">
        <v>12</v>
      </c>
      <c r="B20" s="14" t="s">
        <v>80</v>
      </c>
      <c r="C20" s="14" t="s">
        <v>81</v>
      </c>
      <c r="D20" s="15" t="s">
        <v>82</v>
      </c>
      <c r="E20" s="15" t="s">
        <v>83</v>
      </c>
      <c r="F20" s="15" t="s">
        <v>84</v>
      </c>
      <c r="G20" s="15" t="s">
        <v>85</v>
      </c>
      <c r="H20" s="219">
        <v>10</v>
      </c>
      <c r="I20" s="203" t="s">
        <v>1122</v>
      </c>
      <c r="J20" s="202"/>
      <c r="K20" s="202"/>
    </row>
    <row r="21" spans="1:11" ht="101.25" customHeight="1" x14ac:dyDescent="0.25">
      <c r="A21" s="16">
        <v>13</v>
      </c>
      <c r="B21" s="15" t="s">
        <v>86</v>
      </c>
      <c r="C21" s="15" t="s">
        <v>87</v>
      </c>
      <c r="D21" s="15" t="s">
        <v>88</v>
      </c>
      <c r="E21" s="15" t="s">
        <v>89</v>
      </c>
      <c r="F21" s="15" t="s">
        <v>90</v>
      </c>
      <c r="G21" s="15" t="s">
        <v>91</v>
      </c>
      <c r="H21" s="219">
        <v>10</v>
      </c>
      <c r="I21" s="203" t="s">
        <v>1122</v>
      </c>
      <c r="J21" s="202"/>
      <c r="K21" s="202"/>
    </row>
    <row r="22" spans="1:11" ht="115.5" customHeight="1" x14ac:dyDescent="0.25">
      <c r="A22" s="16">
        <v>14</v>
      </c>
      <c r="B22" s="14" t="s">
        <v>92</v>
      </c>
      <c r="C22" s="14" t="s">
        <v>93</v>
      </c>
      <c r="D22" s="15" t="s">
        <v>94</v>
      </c>
      <c r="E22" s="15" t="s">
        <v>95</v>
      </c>
      <c r="F22" s="15" t="s">
        <v>96</v>
      </c>
      <c r="G22" s="15" t="s">
        <v>97</v>
      </c>
      <c r="H22" s="219">
        <v>10</v>
      </c>
      <c r="I22" s="203" t="s">
        <v>1122</v>
      </c>
      <c r="J22" s="202"/>
      <c r="K22" s="202"/>
    </row>
    <row r="23" spans="1:11" ht="207" customHeight="1" x14ac:dyDescent="0.25">
      <c r="A23" s="17">
        <v>15</v>
      </c>
      <c r="B23" s="14" t="s">
        <v>98</v>
      </c>
      <c r="C23" s="3" t="s">
        <v>99</v>
      </c>
      <c r="D23" s="15" t="s">
        <v>100</v>
      </c>
      <c r="E23" s="15" t="s">
        <v>101</v>
      </c>
      <c r="F23" s="15" t="s">
        <v>102</v>
      </c>
      <c r="G23" s="15" t="s">
        <v>103</v>
      </c>
      <c r="H23" s="219">
        <v>7</v>
      </c>
      <c r="I23" s="155" t="s">
        <v>1122</v>
      </c>
      <c r="J23" s="155" t="s">
        <v>1135</v>
      </c>
      <c r="K23" s="155" t="s">
        <v>1124</v>
      </c>
    </row>
    <row r="24" spans="1:11" ht="132" customHeight="1" x14ac:dyDescent="0.25">
      <c r="A24" s="16">
        <v>16</v>
      </c>
      <c r="B24" s="14" t="s">
        <v>104</v>
      </c>
      <c r="C24" s="5" t="s">
        <v>105</v>
      </c>
      <c r="D24" s="15" t="s">
        <v>106</v>
      </c>
      <c r="E24" s="15" t="s">
        <v>107</v>
      </c>
      <c r="F24" s="15" t="s">
        <v>108</v>
      </c>
      <c r="G24" s="6" t="s">
        <v>109</v>
      </c>
      <c r="H24" s="219">
        <v>10</v>
      </c>
      <c r="I24" s="155"/>
      <c r="J24" s="155"/>
      <c r="K24" s="155"/>
    </row>
    <row r="25" spans="1:11" ht="27" customHeight="1" x14ac:dyDescent="0.25">
      <c r="B25" s="31" t="s">
        <v>197</v>
      </c>
      <c r="C25" s="32"/>
      <c r="D25" s="33"/>
      <c r="E25" s="15"/>
      <c r="F25" s="15"/>
      <c r="G25" s="6"/>
      <c r="H25" s="212">
        <f>(H9+H10+H11+H12+H13+H14+H15+H16+H17+H18+H19+H20+H21+H22+H23+H24)/16</f>
        <v>9.8125</v>
      </c>
      <c r="I25" s="203"/>
      <c r="J25" s="202"/>
      <c r="K25" s="202"/>
    </row>
    <row r="26" spans="1:11" ht="34.5" customHeight="1" x14ac:dyDescent="0.25">
      <c r="A26" s="391" t="s">
        <v>110</v>
      </c>
      <c r="B26" s="392"/>
      <c r="C26" s="393"/>
      <c r="D26" s="15"/>
      <c r="E26" s="15"/>
      <c r="F26" s="15"/>
      <c r="G26" s="15"/>
      <c r="H26" s="219"/>
      <c r="I26" s="202"/>
      <c r="J26" s="202"/>
      <c r="K26" s="202"/>
    </row>
    <row r="27" spans="1:11" ht="175.5" customHeight="1" x14ac:dyDescent="0.25">
      <c r="A27" s="16">
        <v>1</v>
      </c>
      <c r="B27" s="15" t="s">
        <v>111</v>
      </c>
      <c r="C27" s="15" t="s">
        <v>112</v>
      </c>
      <c r="D27" s="15" t="s">
        <v>113</v>
      </c>
      <c r="E27" s="15" t="s">
        <v>114</v>
      </c>
      <c r="F27" s="15" t="s">
        <v>115</v>
      </c>
      <c r="G27" s="15" t="s">
        <v>116</v>
      </c>
      <c r="H27" s="219">
        <v>7</v>
      </c>
      <c r="I27" s="155" t="s">
        <v>1123</v>
      </c>
      <c r="J27" s="155" t="s">
        <v>1125</v>
      </c>
      <c r="K27" s="155" t="s">
        <v>1126</v>
      </c>
    </row>
    <row r="28" spans="1:11" ht="149.25" customHeight="1" x14ac:dyDescent="0.25">
      <c r="A28" s="16">
        <v>2</v>
      </c>
      <c r="B28" s="14" t="s">
        <v>117</v>
      </c>
      <c r="C28" s="14" t="s">
        <v>118</v>
      </c>
      <c r="D28" s="15" t="s">
        <v>119</v>
      </c>
      <c r="E28" s="15" t="s">
        <v>120</v>
      </c>
      <c r="F28" s="15" t="s">
        <v>121</v>
      </c>
      <c r="G28" s="15" t="s">
        <v>122</v>
      </c>
      <c r="H28" s="219">
        <v>10</v>
      </c>
      <c r="I28" s="155" t="s">
        <v>1122</v>
      </c>
      <c r="J28" s="203"/>
      <c r="K28" s="155"/>
    </row>
    <row r="29" spans="1:11" ht="102.75" customHeight="1" x14ac:dyDescent="0.25">
      <c r="A29" s="16">
        <v>3</v>
      </c>
      <c r="B29" s="14" t="s">
        <v>123</v>
      </c>
      <c r="C29" s="14" t="s">
        <v>124</v>
      </c>
      <c r="D29" s="15" t="s">
        <v>125</v>
      </c>
      <c r="E29" s="15" t="s">
        <v>126</v>
      </c>
      <c r="F29" s="15" t="s">
        <v>127</v>
      </c>
      <c r="G29" s="15" t="s">
        <v>128</v>
      </c>
      <c r="H29" s="219">
        <v>10</v>
      </c>
      <c r="I29" s="155" t="s">
        <v>1122</v>
      </c>
      <c r="J29" s="203"/>
      <c r="K29" s="155"/>
    </row>
    <row r="30" spans="1:11" ht="90" customHeight="1" x14ac:dyDescent="0.25">
      <c r="A30" s="16">
        <v>4</v>
      </c>
      <c r="B30" s="14" t="s">
        <v>129</v>
      </c>
      <c r="C30" s="14" t="s">
        <v>130</v>
      </c>
      <c r="D30" s="15" t="s">
        <v>131</v>
      </c>
      <c r="E30" s="15" t="s">
        <v>132</v>
      </c>
      <c r="F30" s="15" t="s">
        <v>133</v>
      </c>
      <c r="G30" s="15" t="s">
        <v>134</v>
      </c>
      <c r="H30" s="219">
        <v>10</v>
      </c>
      <c r="I30" s="155" t="s">
        <v>1127</v>
      </c>
      <c r="J30" s="202"/>
      <c r="K30" s="202"/>
    </row>
    <row r="31" spans="1:11" ht="106.5" customHeight="1" x14ac:dyDescent="0.25">
      <c r="A31" s="16">
        <v>5</v>
      </c>
      <c r="B31" s="14" t="s">
        <v>135</v>
      </c>
      <c r="C31" s="14" t="s">
        <v>136</v>
      </c>
      <c r="D31" s="15" t="s">
        <v>137</v>
      </c>
      <c r="E31" s="15" t="s">
        <v>126</v>
      </c>
      <c r="F31" s="15" t="s">
        <v>127</v>
      </c>
      <c r="G31" s="15" t="s">
        <v>128</v>
      </c>
      <c r="H31" s="219">
        <v>10</v>
      </c>
      <c r="I31" s="155" t="s">
        <v>1122</v>
      </c>
      <c r="J31" s="155"/>
      <c r="K31" s="155"/>
    </row>
    <row r="32" spans="1:11" ht="26.25" customHeight="1" x14ac:dyDescent="0.25">
      <c r="B32" s="31" t="s">
        <v>196</v>
      </c>
      <c r="C32" s="32"/>
      <c r="D32" s="33"/>
      <c r="E32" s="15"/>
      <c r="F32" s="15"/>
      <c r="G32" s="15"/>
      <c r="H32" s="212">
        <f>(H27+H28+H29+H30+H31)/5</f>
        <v>9.4</v>
      </c>
      <c r="I32" s="203"/>
      <c r="J32" s="155"/>
      <c r="K32" s="155"/>
    </row>
    <row r="33" spans="1:13" ht="26.25" customHeight="1" x14ac:dyDescent="0.25">
      <c r="A33" s="391" t="s">
        <v>138</v>
      </c>
      <c r="B33" s="392"/>
      <c r="C33" s="393"/>
      <c r="D33" s="15"/>
      <c r="E33" s="15"/>
      <c r="F33" s="15"/>
      <c r="G33" s="15"/>
      <c r="H33" s="220"/>
      <c r="I33" s="204"/>
      <c r="J33" s="204"/>
      <c r="K33" s="204"/>
    </row>
    <row r="34" spans="1:13" ht="102" customHeight="1" x14ac:dyDescent="0.25">
      <c r="A34" s="18">
        <v>1</v>
      </c>
      <c r="B34" s="14" t="s">
        <v>139</v>
      </c>
      <c r="C34" s="14" t="s">
        <v>140</v>
      </c>
      <c r="D34" s="15" t="s">
        <v>88</v>
      </c>
      <c r="E34" s="15" t="s">
        <v>141</v>
      </c>
      <c r="F34" s="15" t="s">
        <v>142</v>
      </c>
      <c r="G34" s="15" t="s">
        <v>143</v>
      </c>
      <c r="H34" s="220">
        <v>10</v>
      </c>
      <c r="I34" s="205" t="s">
        <v>1122</v>
      </c>
      <c r="J34" s="204"/>
      <c r="K34" s="204"/>
    </row>
    <row r="35" spans="1:13" ht="123.75" customHeight="1" x14ac:dyDescent="0.25">
      <c r="A35" s="16">
        <v>2</v>
      </c>
      <c r="B35" s="14" t="s">
        <v>144</v>
      </c>
      <c r="C35" s="14" t="s">
        <v>145</v>
      </c>
      <c r="D35" s="15" t="s">
        <v>88</v>
      </c>
      <c r="E35" s="15" t="s">
        <v>146</v>
      </c>
      <c r="F35" s="15" t="s">
        <v>147</v>
      </c>
      <c r="G35" s="15" t="s">
        <v>148</v>
      </c>
      <c r="H35" s="220">
        <v>10</v>
      </c>
      <c r="I35" s="205" t="s">
        <v>1122</v>
      </c>
      <c r="J35" s="204"/>
      <c r="K35" s="204"/>
    </row>
    <row r="36" spans="1:13" ht="24" customHeight="1" x14ac:dyDescent="0.25">
      <c r="B36" s="31" t="s">
        <v>195</v>
      </c>
      <c r="C36" s="32"/>
      <c r="D36" s="33"/>
      <c r="E36" s="15"/>
      <c r="F36" s="15"/>
      <c r="G36" s="15"/>
      <c r="H36" s="212">
        <f>(H34+H35)/2</f>
        <v>10</v>
      </c>
      <c r="I36" s="206"/>
      <c r="J36" s="204"/>
      <c r="K36" s="204"/>
    </row>
    <row r="37" spans="1:13" ht="27.75" customHeight="1" x14ac:dyDescent="0.25">
      <c r="A37" s="391" t="s">
        <v>149</v>
      </c>
      <c r="B37" s="392"/>
      <c r="C37" s="393"/>
      <c r="D37" s="15"/>
      <c r="E37" s="15"/>
      <c r="F37" s="15"/>
      <c r="G37" s="15"/>
      <c r="H37" s="220"/>
      <c r="I37" s="206"/>
      <c r="J37" s="204"/>
      <c r="K37" s="204"/>
    </row>
    <row r="38" spans="1:13" ht="138" customHeight="1" x14ac:dyDescent="0.25">
      <c r="A38" s="16">
        <v>1</v>
      </c>
      <c r="B38" s="15" t="s">
        <v>150</v>
      </c>
      <c r="C38" s="15" t="s">
        <v>151</v>
      </c>
      <c r="D38" s="15" t="s">
        <v>152</v>
      </c>
      <c r="E38" s="15" t="s">
        <v>153</v>
      </c>
      <c r="F38" s="15" t="s">
        <v>154</v>
      </c>
      <c r="G38" s="15" t="s">
        <v>155</v>
      </c>
      <c r="H38" s="220">
        <v>10</v>
      </c>
      <c r="I38" s="205" t="s">
        <v>1122</v>
      </c>
      <c r="J38" s="204"/>
      <c r="K38" s="204"/>
    </row>
    <row r="39" spans="1:13" ht="125.25" customHeight="1" x14ac:dyDescent="0.25">
      <c r="A39" s="17">
        <v>2</v>
      </c>
      <c r="B39" s="14" t="s">
        <v>156</v>
      </c>
      <c r="C39" s="14" t="s">
        <v>157</v>
      </c>
      <c r="D39" s="15" t="s">
        <v>158</v>
      </c>
      <c r="E39" s="15" t="s">
        <v>159</v>
      </c>
      <c r="F39" s="15" t="s">
        <v>160</v>
      </c>
      <c r="G39" s="15" t="s">
        <v>161</v>
      </c>
      <c r="H39" s="219">
        <v>10</v>
      </c>
      <c r="I39" s="155" t="s">
        <v>1122</v>
      </c>
      <c r="J39" s="202"/>
      <c r="K39" s="202"/>
    </row>
    <row r="40" spans="1:13" ht="166.5" customHeight="1" x14ac:dyDescent="0.25">
      <c r="A40" s="16">
        <v>3</v>
      </c>
      <c r="B40" s="14" t="s">
        <v>162</v>
      </c>
      <c r="C40" s="14" t="s">
        <v>163</v>
      </c>
      <c r="D40" s="15" t="s">
        <v>88</v>
      </c>
      <c r="E40" s="15" t="s">
        <v>164</v>
      </c>
      <c r="F40" s="15" t="s">
        <v>165</v>
      </c>
      <c r="G40" s="15" t="s">
        <v>166</v>
      </c>
      <c r="H40" s="219">
        <v>7</v>
      </c>
      <c r="I40" s="155" t="s">
        <v>1122</v>
      </c>
      <c r="J40" s="155" t="s">
        <v>1210</v>
      </c>
      <c r="K40" s="155" t="s">
        <v>1211</v>
      </c>
    </row>
    <row r="41" spans="1:13" ht="30.75" customHeight="1" x14ac:dyDescent="0.25">
      <c r="B41" s="391" t="s">
        <v>194</v>
      </c>
      <c r="C41" s="392"/>
      <c r="D41" s="392"/>
      <c r="E41" s="23"/>
      <c r="F41" s="23"/>
      <c r="G41" s="23"/>
      <c r="H41" s="213">
        <f>(H38+H39+H40)/3</f>
        <v>9</v>
      </c>
      <c r="I41" s="203"/>
      <c r="J41" s="202"/>
      <c r="K41" s="202"/>
    </row>
    <row r="42" spans="1:13" ht="35.25" customHeight="1" x14ac:dyDescent="0.25">
      <c r="A42" s="394" t="s">
        <v>167</v>
      </c>
      <c r="B42" s="395"/>
      <c r="C42" s="395"/>
      <c r="D42" s="395"/>
      <c r="E42" s="395"/>
      <c r="F42" s="395"/>
      <c r="G42" s="395"/>
      <c r="H42" s="219"/>
      <c r="I42" s="202"/>
      <c r="J42" s="202"/>
      <c r="K42" s="202"/>
    </row>
    <row r="43" spans="1:13" ht="409.5" customHeight="1" x14ac:dyDescent="0.25">
      <c r="A43" s="2" t="s">
        <v>168</v>
      </c>
      <c r="B43" s="3" t="s">
        <v>169</v>
      </c>
      <c r="C43" s="3" t="s">
        <v>170</v>
      </c>
      <c r="D43" s="4" t="s">
        <v>171</v>
      </c>
      <c r="E43" s="4" t="s">
        <v>172</v>
      </c>
      <c r="F43" s="4" t="s">
        <v>173</v>
      </c>
      <c r="G43" s="4" t="s">
        <v>174</v>
      </c>
      <c r="H43" s="155">
        <v>10</v>
      </c>
      <c r="I43" s="154" t="s">
        <v>1122</v>
      </c>
      <c r="J43" s="202"/>
      <c r="K43" s="202"/>
    </row>
    <row r="44" spans="1:13" ht="185.25" customHeight="1" x14ac:dyDescent="0.25">
      <c r="A44" s="2" t="s">
        <v>175</v>
      </c>
      <c r="B44" s="3" t="s">
        <v>176</v>
      </c>
      <c r="C44" s="3" t="s">
        <v>177</v>
      </c>
      <c r="D44" s="4" t="s">
        <v>178</v>
      </c>
      <c r="E44" s="4" t="s">
        <v>179</v>
      </c>
      <c r="F44" s="4" t="s">
        <v>180</v>
      </c>
      <c r="G44" s="4" t="s">
        <v>181</v>
      </c>
      <c r="H44" s="219">
        <v>10</v>
      </c>
      <c r="I44" s="155" t="s">
        <v>1122</v>
      </c>
      <c r="J44" s="309"/>
      <c r="K44" s="309"/>
    </row>
    <row r="45" spans="1:13" ht="399" customHeight="1" x14ac:dyDescent="0.25">
      <c r="A45" s="2" t="s">
        <v>182</v>
      </c>
      <c r="B45" s="3" t="s">
        <v>183</v>
      </c>
      <c r="C45" s="3" t="s">
        <v>184</v>
      </c>
      <c r="D45" s="4" t="s">
        <v>185</v>
      </c>
      <c r="E45" s="4" t="s">
        <v>186</v>
      </c>
      <c r="F45" s="4" t="s">
        <v>187</v>
      </c>
      <c r="G45" s="4" t="s">
        <v>188</v>
      </c>
      <c r="H45" s="219">
        <v>10</v>
      </c>
      <c r="I45" s="207"/>
      <c r="J45" s="155"/>
      <c r="K45" s="155"/>
    </row>
    <row r="46" spans="1:13" ht="30" customHeight="1" x14ac:dyDescent="0.25">
      <c r="A46" s="25"/>
      <c r="B46" s="388" t="s">
        <v>191</v>
      </c>
      <c r="C46" s="389"/>
      <c r="D46" s="390"/>
      <c r="E46" s="4"/>
      <c r="F46" s="4"/>
      <c r="G46" s="4"/>
      <c r="H46" s="221">
        <f>(H43+H44+H45)/3</f>
        <v>10</v>
      </c>
      <c r="I46" s="4"/>
      <c r="J46" s="4"/>
      <c r="K46" s="4"/>
    </row>
    <row r="47" spans="1:13" ht="27.75" customHeight="1" x14ac:dyDescent="0.25">
      <c r="A47" s="27"/>
      <c r="B47" s="388" t="s">
        <v>192</v>
      </c>
      <c r="C47" s="389"/>
      <c r="D47" s="390"/>
      <c r="E47" s="28"/>
      <c r="F47" s="26"/>
      <c r="G47" s="26"/>
      <c r="H47" s="222">
        <f>H46+H25+H32+H41+H36</f>
        <v>48.212499999999999</v>
      </c>
      <c r="I47" s="26"/>
      <c r="J47" s="26"/>
      <c r="K47" s="26"/>
      <c r="L47" s="127"/>
      <c r="M47" s="127"/>
    </row>
    <row r="48" spans="1:13" ht="30.75" customHeight="1" x14ac:dyDescent="0.25">
      <c r="A48" s="27"/>
      <c r="B48" s="388" t="s">
        <v>193</v>
      </c>
      <c r="C48" s="389"/>
      <c r="D48" s="390"/>
      <c r="E48" s="28"/>
      <c r="F48" s="26"/>
      <c r="G48" s="26"/>
      <c r="H48" s="223">
        <f>H47/5</f>
        <v>9.6425000000000001</v>
      </c>
      <c r="I48" s="211"/>
      <c r="J48" s="211"/>
      <c r="K48" s="211"/>
    </row>
  </sheetData>
  <mergeCells count="18">
    <mergeCell ref="A1:G1"/>
    <mergeCell ref="A4:G4"/>
    <mergeCell ref="A5:A6"/>
    <mergeCell ref="B5:B6"/>
    <mergeCell ref="C5:C6"/>
    <mergeCell ref="D5:G5"/>
    <mergeCell ref="A3:L3"/>
    <mergeCell ref="I5:I8"/>
    <mergeCell ref="J5:J8"/>
    <mergeCell ref="K5:K8"/>
    <mergeCell ref="B46:D46"/>
    <mergeCell ref="B47:D47"/>
    <mergeCell ref="B48:D48"/>
    <mergeCell ref="B41:D41"/>
    <mergeCell ref="A26:C26"/>
    <mergeCell ref="A33:C33"/>
    <mergeCell ref="A37:C37"/>
    <mergeCell ref="A42:G42"/>
  </mergeCells>
  <pageMargins left="0.39370078740157483" right="0.19685039370078741" top="0.55118110236220474" bottom="0.35433070866141736" header="0.31496062992125984" footer="0.31496062992125984"/>
  <pageSetup paperSize="5" scale="65" orientation="landscape" r:id="rId1"/>
  <rowBreaks count="6" manualBreakCount="6">
    <brk id="12" max="10" man="1"/>
    <brk id="16" max="10" man="1"/>
    <brk id="25" max="10" man="1"/>
    <brk id="32" max="10" man="1"/>
    <brk id="36" max="10" man="1"/>
    <brk id="41"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10"/>
  <sheetViews>
    <sheetView view="pageBreakPreview" topLeftCell="A93" zoomScale="60" zoomScaleNormal="68" workbookViewId="0">
      <selection activeCell="H182" sqref="H182"/>
    </sheetView>
  </sheetViews>
  <sheetFormatPr defaultRowHeight="15" x14ac:dyDescent="0.25"/>
  <cols>
    <col min="1" max="1" width="4.28515625" customWidth="1"/>
    <col min="2" max="2" width="9.5703125" customWidth="1"/>
    <col min="3" max="3" width="22.85546875" customWidth="1"/>
    <col min="4" max="4" width="11" style="294" customWidth="1"/>
    <col min="5" max="5" width="12.28515625" style="29" customWidth="1"/>
    <col min="6" max="6" width="10.42578125" customWidth="1"/>
    <col min="7" max="7" width="12" customWidth="1"/>
    <col min="8" max="8" width="10.140625" customWidth="1"/>
    <col min="9" max="9" width="13.28515625" customWidth="1"/>
    <col min="10" max="10" width="10.5703125" customWidth="1"/>
    <col min="11" max="11" width="11.42578125" customWidth="1"/>
    <col min="12" max="12" width="9.7109375" customWidth="1"/>
    <col min="13" max="13" width="12.7109375" style="128" customWidth="1"/>
    <col min="14" max="14" width="30.7109375" style="148" customWidth="1"/>
    <col min="15" max="15" width="33" style="148" customWidth="1"/>
    <col min="17" max="17" width="120.7109375" style="147" customWidth="1"/>
    <col min="18" max="18" width="120.7109375" style="148" customWidth="1"/>
  </cols>
  <sheetData>
    <row r="1" spans="1:18" x14ac:dyDescent="0.25">
      <c r="A1" s="439" t="s">
        <v>361</v>
      </c>
      <c r="B1" s="439"/>
      <c r="C1" s="439"/>
      <c r="D1" s="439"/>
      <c r="E1" s="439"/>
      <c r="F1" s="1"/>
    </row>
    <row r="2" spans="1:18" x14ac:dyDescent="0.25">
      <c r="A2" s="1"/>
      <c r="B2" s="1"/>
      <c r="C2" s="1"/>
      <c r="D2" s="440"/>
      <c r="E2" s="440"/>
      <c r="F2" s="1"/>
    </row>
    <row r="3" spans="1:18" ht="15.6" customHeight="1" x14ac:dyDescent="0.25">
      <c r="A3" s="437" t="s">
        <v>1176</v>
      </c>
      <c r="B3" s="437"/>
      <c r="C3" s="437"/>
      <c r="D3" s="437"/>
      <c r="E3" s="437"/>
      <c r="F3" s="437"/>
      <c r="G3" s="437"/>
      <c r="H3" s="437"/>
      <c r="I3" s="437"/>
      <c r="J3" s="437"/>
      <c r="K3" s="437"/>
      <c r="L3" s="437"/>
      <c r="M3" s="437"/>
      <c r="N3" s="437"/>
      <c r="O3" s="437"/>
      <c r="R3" s="149"/>
    </row>
    <row r="4" spans="1:18" ht="15.75" x14ac:dyDescent="0.25">
      <c r="A4" s="1"/>
      <c r="B4" s="1"/>
      <c r="C4" s="1"/>
      <c r="D4" s="286"/>
      <c r="E4" s="70"/>
      <c r="F4" s="34"/>
      <c r="R4" s="150"/>
    </row>
    <row r="5" spans="1:18" ht="24" customHeight="1" x14ac:dyDescent="0.25">
      <c r="A5" s="441" t="s">
        <v>1</v>
      </c>
      <c r="B5" s="442" t="s">
        <v>478</v>
      </c>
      <c r="C5" s="442"/>
      <c r="D5" s="443" t="s">
        <v>1088</v>
      </c>
      <c r="E5" s="435" t="s">
        <v>198</v>
      </c>
      <c r="F5" s="435" t="s">
        <v>199</v>
      </c>
      <c r="G5" s="435" t="s">
        <v>200</v>
      </c>
      <c r="H5" s="435" t="s">
        <v>201</v>
      </c>
      <c r="I5" s="435" t="s">
        <v>202</v>
      </c>
      <c r="J5" s="435" t="s">
        <v>203</v>
      </c>
      <c r="K5" s="435"/>
      <c r="L5" s="435"/>
      <c r="M5" s="435" t="s">
        <v>204</v>
      </c>
      <c r="N5" s="438" t="s">
        <v>205</v>
      </c>
      <c r="O5" s="433" t="s">
        <v>206</v>
      </c>
      <c r="Q5" s="157" t="s">
        <v>3</v>
      </c>
      <c r="R5" s="45" t="s">
        <v>362</v>
      </c>
    </row>
    <row r="6" spans="1:18" ht="56.25" customHeight="1" x14ac:dyDescent="0.25">
      <c r="A6" s="441"/>
      <c r="B6" s="442"/>
      <c r="C6" s="442"/>
      <c r="D6" s="443"/>
      <c r="E6" s="435"/>
      <c r="F6" s="435"/>
      <c r="G6" s="435"/>
      <c r="H6" s="435"/>
      <c r="I6" s="435"/>
      <c r="J6" s="49" t="s">
        <v>207</v>
      </c>
      <c r="K6" s="49" t="s">
        <v>208</v>
      </c>
      <c r="L6" s="49" t="s">
        <v>209</v>
      </c>
      <c r="M6" s="435"/>
      <c r="N6" s="438"/>
      <c r="O6" s="434"/>
      <c r="R6" s="152"/>
    </row>
    <row r="7" spans="1:18" x14ac:dyDescent="0.25">
      <c r="A7" s="35" t="s">
        <v>9</v>
      </c>
      <c r="B7" s="436" t="s">
        <v>10</v>
      </c>
      <c r="C7" s="436"/>
      <c r="D7" s="287" t="s">
        <v>11</v>
      </c>
      <c r="E7" s="35" t="s">
        <v>12</v>
      </c>
      <c r="F7" s="35" t="s">
        <v>13</v>
      </c>
      <c r="G7" s="35" t="s">
        <v>14</v>
      </c>
      <c r="H7" s="35" t="s">
        <v>15</v>
      </c>
      <c r="I7" s="35" t="s">
        <v>190</v>
      </c>
      <c r="J7" s="35" t="s">
        <v>210</v>
      </c>
      <c r="K7" s="35" t="s">
        <v>211</v>
      </c>
      <c r="L7" s="35" t="s">
        <v>212</v>
      </c>
      <c r="M7" s="35" t="s">
        <v>213</v>
      </c>
      <c r="N7" s="278" t="s">
        <v>214</v>
      </c>
      <c r="O7" s="279" t="s">
        <v>215</v>
      </c>
      <c r="R7" s="151"/>
    </row>
    <row r="8" spans="1:18" ht="26.25" customHeight="1" x14ac:dyDescent="0.25">
      <c r="A8" s="47" t="s">
        <v>579</v>
      </c>
      <c r="B8" s="66"/>
      <c r="C8" s="47"/>
      <c r="D8" s="36"/>
      <c r="E8" s="30"/>
      <c r="F8" s="247"/>
      <c r="G8" s="247"/>
      <c r="H8" s="247"/>
      <c r="I8" s="247"/>
      <c r="J8" s="247"/>
      <c r="K8" s="247"/>
      <c r="L8" s="256">
        <f>AVERAGE(L9,L32,L52,L84,L100,L178)</f>
        <v>93.20056456375282</v>
      </c>
      <c r="M8" s="119"/>
      <c r="N8" s="130"/>
      <c r="O8" s="130"/>
      <c r="R8" s="152"/>
    </row>
    <row r="9" spans="1:18" ht="24" customHeight="1" x14ac:dyDescent="0.25">
      <c r="A9" s="47" t="s">
        <v>581</v>
      </c>
      <c r="B9" s="66"/>
      <c r="C9" s="47"/>
      <c r="D9" s="36"/>
      <c r="E9" s="37"/>
      <c r="F9" s="196"/>
      <c r="G9" s="247"/>
      <c r="H9" s="247"/>
      <c r="I9" s="247"/>
      <c r="J9" s="247"/>
      <c r="K9" s="247"/>
      <c r="L9" s="270">
        <f>AVERAGE(K10,K14,K18,K22,K25,K29)</f>
        <v>98.51283981718764</v>
      </c>
      <c r="M9" s="119"/>
      <c r="N9" s="130"/>
      <c r="O9" s="130"/>
      <c r="R9" s="152"/>
    </row>
    <row r="10" spans="1:18" ht="27.75" customHeight="1" x14ac:dyDescent="0.25">
      <c r="A10" s="47" t="s">
        <v>216</v>
      </c>
      <c r="B10" s="47"/>
      <c r="C10" s="47"/>
      <c r="D10" s="36"/>
      <c r="E10" s="43"/>
      <c r="F10" s="98"/>
      <c r="G10" s="98"/>
      <c r="H10" s="98"/>
      <c r="I10" s="99"/>
      <c r="J10" s="257"/>
      <c r="K10" s="258">
        <f>AVERAGE(J11:J13)</f>
        <v>100</v>
      </c>
      <c r="L10" s="247"/>
      <c r="M10" s="119"/>
      <c r="N10" s="130"/>
      <c r="O10" s="130"/>
      <c r="R10" s="152"/>
    </row>
    <row r="11" spans="1:18" ht="36.75" customHeight="1" x14ac:dyDescent="0.25">
      <c r="A11" s="2" t="s">
        <v>168</v>
      </c>
      <c r="B11" s="411" t="s">
        <v>217</v>
      </c>
      <c r="C11" s="411"/>
      <c r="D11" s="335">
        <v>0.2</v>
      </c>
      <c r="E11" s="48" t="s">
        <v>218</v>
      </c>
      <c r="F11" s="332">
        <v>9455</v>
      </c>
      <c r="G11" s="98">
        <f>D11*F11</f>
        <v>1891</v>
      </c>
      <c r="H11" s="336">
        <v>2093</v>
      </c>
      <c r="I11" s="99">
        <f>H11/F11*100</f>
        <v>22.136435748281333</v>
      </c>
      <c r="J11" s="99">
        <f>IF(H11/G11*100&gt;=100,100,IF(H11/G11*100&lt;100,H11/G11*100))</f>
        <v>100</v>
      </c>
      <c r="K11" s="378"/>
      <c r="L11" s="247"/>
      <c r="M11" s="48" t="s">
        <v>1122</v>
      </c>
      <c r="N11" s="273"/>
      <c r="O11" s="273"/>
      <c r="Q11" s="139" t="s">
        <v>892</v>
      </c>
      <c r="R11" s="3" t="s">
        <v>363</v>
      </c>
    </row>
    <row r="12" spans="1:18" ht="39.75" customHeight="1" x14ac:dyDescent="0.25">
      <c r="A12" s="2" t="s">
        <v>219</v>
      </c>
      <c r="B12" s="411" t="s">
        <v>220</v>
      </c>
      <c r="C12" s="411"/>
      <c r="D12" s="335">
        <v>0.5</v>
      </c>
      <c r="E12" s="48" t="s">
        <v>221</v>
      </c>
      <c r="F12" s="332">
        <v>22</v>
      </c>
      <c r="G12" s="98">
        <f>D12*F12</f>
        <v>11</v>
      </c>
      <c r="H12" s="336">
        <v>22</v>
      </c>
      <c r="I12" s="99">
        <f>H12/F12*100</f>
        <v>100</v>
      </c>
      <c r="J12" s="99">
        <f>IF(H12/G12*100&gt;=100,100,IF(H12/G12*100&lt;100,H12/G12*100))</f>
        <v>100</v>
      </c>
      <c r="K12" s="259"/>
      <c r="L12" s="247"/>
      <c r="M12" s="48" t="s">
        <v>1122</v>
      </c>
      <c r="N12" s="379"/>
      <c r="O12" s="275"/>
      <c r="Q12" s="139" t="s">
        <v>893</v>
      </c>
      <c r="R12" s="3" t="s">
        <v>364</v>
      </c>
    </row>
    <row r="13" spans="1:18" ht="41.45" customHeight="1" x14ac:dyDescent="0.25">
      <c r="A13" s="2" t="s">
        <v>222</v>
      </c>
      <c r="B13" s="411" t="s">
        <v>223</v>
      </c>
      <c r="C13" s="411"/>
      <c r="D13" s="335">
        <v>0.7</v>
      </c>
      <c r="E13" s="48" t="s">
        <v>224</v>
      </c>
      <c r="F13" s="332">
        <v>0</v>
      </c>
      <c r="G13" s="98">
        <f>D13*F13</f>
        <v>0</v>
      </c>
      <c r="H13" s="336"/>
      <c r="I13" s="99">
        <v>0</v>
      </c>
      <c r="J13" s="99">
        <v>100</v>
      </c>
      <c r="K13" s="259"/>
      <c r="L13" s="247"/>
      <c r="M13" s="48" t="s">
        <v>1122</v>
      </c>
      <c r="N13" s="275" t="s">
        <v>1200</v>
      </c>
      <c r="O13" s="273"/>
      <c r="Q13" s="139" t="s">
        <v>894</v>
      </c>
      <c r="R13" s="3" t="s">
        <v>365</v>
      </c>
    </row>
    <row r="14" spans="1:18" ht="25.5" customHeight="1" x14ac:dyDescent="0.25">
      <c r="A14" s="415" t="s">
        <v>366</v>
      </c>
      <c r="B14" s="415"/>
      <c r="C14" s="415"/>
      <c r="D14" s="2"/>
      <c r="E14" s="43"/>
      <c r="F14" s="336"/>
      <c r="G14" s="98"/>
      <c r="H14" s="336"/>
      <c r="I14" s="99"/>
      <c r="J14" s="257"/>
      <c r="K14" s="258">
        <f>AVERAGE(J15:J17)</f>
        <v>91.077038903125867</v>
      </c>
      <c r="L14" s="247"/>
      <c r="M14" s="242"/>
      <c r="N14" s="273"/>
      <c r="O14" s="273"/>
      <c r="Q14" s="139"/>
      <c r="R14" s="4"/>
    </row>
    <row r="15" spans="1:18" ht="69" customHeight="1" x14ac:dyDescent="0.25">
      <c r="A15" s="2" t="s">
        <v>168</v>
      </c>
      <c r="B15" s="411" t="s">
        <v>225</v>
      </c>
      <c r="C15" s="411"/>
      <c r="D15" s="335">
        <v>0.55000000000000004</v>
      </c>
      <c r="E15" s="48" t="s">
        <v>218</v>
      </c>
      <c r="F15" s="332">
        <v>2093</v>
      </c>
      <c r="G15" s="98">
        <f>D15*F15</f>
        <v>1151.1500000000001</v>
      </c>
      <c r="H15" s="336">
        <v>843</v>
      </c>
      <c r="I15" s="99">
        <f>H15/F15*100</f>
        <v>40.277114190157668</v>
      </c>
      <c r="J15" s="99">
        <f>IF(H15/G15*100&gt;=100,100,IF(H15/G15*100&lt;100,H15/G15*100))</f>
        <v>73.231116709377574</v>
      </c>
      <c r="K15" s="378"/>
      <c r="L15" s="247"/>
      <c r="M15" s="48" t="s">
        <v>1122</v>
      </c>
      <c r="N15" s="273"/>
      <c r="O15" s="275"/>
      <c r="Q15" s="154" t="s">
        <v>899</v>
      </c>
      <c r="R15" s="4" t="s">
        <v>367</v>
      </c>
    </row>
    <row r="16" spans="1:18" ht="75.75" customHeight="1" x14ac:dyDescent="0.25">
      <c r="A16" s="2" t="s">
        <v>219</v>
      </c>
      <c r="B16" s="411" t="s">
        <v>368</v>
      </c>
      <c r="C16" s="411"/>
      <c r="D16" s="335">
        <v>0.74</v>
      </c>
      <c r="E16" s="48" t="s">
        <v>221</v>
      </c>
      <c r="F16" s="332">
        <v>22</v>
      </c>
      <c r="G16" s="98">
        <f>D16*F16</f>
        <v>16.28</v>
      </c>
      <c r="H16" s="336">
        <v>21</v>
      </c>
      <c r="I16" s="99">
        <f>H16/F16*100</f>
        <v>95.454545454545453</v>
      </c>
      <c r="J16" s="99">
        <f>IF(H16/G16*100&gt;=100,100,IF(H16/G16*100&lt;100,H16/G16*100))</f>
        <v>100</v>
      </c>
      <c r="K16" s="260"/>
      <c r="L16" s="247"/>
      <c r="M16" s="48" t="s">
        <v>1122</v>
      </c>
      <c r="N16" s="273"/>
      <c r="O16" s="275"/>
      <c r="P16" s="147"/>
      <c r="Q16" s="4" t="s">
        <v>1180</v>
      </c>
      <c r="R16" s="4" t="s">
        <v>369</v>
      </c>
    </row>
    <row r="17" spans="1:18" ht="73.5" customHeight="1" x14ac:dyDescent="0.25">
      <c r="A17" s="2" t="s">
        <v>182</v>
      </c>
      <c r="B17" s="411" t="s">
        <v>370</v>
      </c>
      <c r="C17" s="411"/>
      <c r="D17" s="335">
        <v>0.5</v>
      </c>
      <c r="E17" s="48" t="s">
        <v>224</v>
      </c>
      <c r="F17" s="332">
        <v>0</v>
      </c>
      <c r="G17" s="98">
        <f>D17*F17</f>
        <v>0</v>
      </c>
      <c r="H17" s="336"/>
      <c r="I17" s="99">
        <v>0</v>
      </c>
      <c r="J17" s="99">
        <v>100</v>
      </c>
      <c r="K17" s="260"/>
      <c r="L17" s="247"/>
      <c r="M17" s="48" t="s">
        <v>1122</v>
      </c>
      <c r="N17" s="275" t="s">
        <v>1200</v>
      </c>
      <c r="O17" s="273"/>
      <c r="Q17" s="154" t="s">
        <v>900</v>
      </c>
      <c r="R17" s="4" t="s">
        <v>371</v>
      </c>
    </row>
    <row r="18" spans="1:18" ht="26.25" customHeight="1" x14ac:dyDescent="0.25">
      <c r="A18" s="415" t="s">
        <v>226</v>
      </c>
      <c r="B18" s="415"/>
      <c r="C18" s="415"/>
      <c r="D18" s="2"/>
      <c r="E18" s="43"/>
      <c r="F18" s="336"/>
      <c r="G18" s="98"/>
      <c r="H18" s="336"/>
      <c r="I18" s="227"/>
      <c r="J18" s="99"/>
      <c r="K18" s="258">
        <f>AVERAGE(J19:J21)</f>
        <v>100</v>
      </c>
      <c r="L18" s="247"/>
      <c r="M18" s="224"/>
      <c r="N18" s="275"/>
      <c r="O18" s="273"/>
      <c r="Q18" s="139"/>
      <c r="R18" s="4"/>
    </row>
    <row r="19" spans="1:18" ht="47.25" customHeight="1" x14ac:dyDescent="0.25">
      <c r="A19" s="2" t="s">
        <v>168</v>
      </c>
      <c r="B19" s="411" t="s">
        <v>227</v>
      </c>
      <c r="C19" s="411"/>
      <c r="D19" s="44">
        <v>1</v>
      </c>
      <c r="E19" s="48" t="s">
        <v>479</v>
      </c>
      <c r="F19" s="327">
        <v>144</v>
      </c>
      <c r="G19" s="98">
        <f>D19*F19</f>
        <v>144</v>
      </c>
      <c r="H19" s="336">
        <v>144</v>
      </c>
      <c r="I19" s="99">
        <f>H19/F19*100</f>
        <v>100</v>
      </c>
      <c r="J19" s="99">
        <f>IF(H19/G19*100&gt;=100,100,IF(H19/G19*100&lt;100,H19/G19*100))</f>
        <v>100</v>
      </c>
      <c r="K19" s="260"/>
      <c r="L19" s="247"/>
      <c r="M19" s="48" t="s">
        <v>1122</v>
      </c>
      <c r="N19" s="275"/>
      <c r="O19" s="275"/>
      <c r="Q19" s="139" t="s">
        <v>901</v>
      </c>
      <c r="R19" s="3" t="s">
        <v>372</v>
      </c>
    </row>
    <row r="20" spans="1:18" ht="47.25" customHeight="1" x14ac:dyDescent="0.25">
      <c r="A20" s="2" t="s">
        <v>175</v>
      </c>
      <c r="B20" s="411" t="s">
        <v>229</v>
      </c>
      <c r="C20" s="411"/>
      <c r="D20" s="44">
        <v>1</v>
      </c>
      <c r="E20" s="48" t="s">
        <v>479</v>
      </c>
      <c r="F20" s="336">
        <v>44</v>
      </c>
      <c r="G20" s="98">
        <f>D20*F20</f>
        <v>44</v>
      </c>
      <c r="H20" s="336">
        <v>44</v>
      </c>
      <c r="I20" s="99">
        <f>H20/F20*100</f>
        <v>100</v>
      </c>
      <c r="J20" s="99">
        <f>IF(H20/G20*100&gt;=100,100,IF(H20/G20*100&lt;100,H20/G20*100))</f>
        <v>100</v>
      </c>
      <c r="K20" s="260"/>
      <c r="L20" s="247"/>
      <c r="M20" s="48" t="s">
        <v>1122</v>
      </c>
      <c r="N20" s="275"/>
      <c r="O20" s="273"/>
      <c r="Q20" s="139" t="s">
        <v>902</v>
      </c>
      <c r="R20" s="3" t="s">
        <v>373</v>
      </c>
    </row>
    <row r="21" spans="1:18" ht="47.25" customHeight="1" x14ac:dyDescent="0.25">
      <c r="A21" s="2" t="s">
        <v>182</v>
      </c>
      <c r="B21" s="411" t="s">
        <v>230</v>
      </c>
      <c r="C21" s="411"/>
      <c r="D21" s="44">
        <v>1</v>
      </c>
      <c r="E21" s="48" t="s">
        <v>479</v>
      </c>
      <c r="F21" s="336">
        <v>0</v>
      </c>
      <c r="G21" s="98">
        <f>D21*F21</f>
        <v>0</v>
      </c>
      <c r="H21" s="336"/>
      <c r="I21" s="99">
        <v>0</v>
      </c>
      <c r="J21" s="99">
        <v>100</v>
      </c>
      <c r="K21" s="260"/>
      <c r="L21" s="247"/>
      <c r="M21" s="48" t="s">
        <v>1122</v>
      </c>
      <c r="N21" s="275"/>
      <c r="O21" s="273"/>
      <c r="Q21" s="139" t="s">
        <v>903</v>
      </c>
      <c r="R21" s="3" t="s">
        <v>374</v>
      </c>
    </row>
    <row r="22" spans="1:18" ht="26.25" customHeight="1" x14ac:dyDescent="0.25">
      <c r="A22" s="39" t="s">
        <v>231</v>
      </c>
      <c r="B22" s="39"/>
      <c r="C22" s="39"/>
      <c r="D22" s="2"/>
      <c r="E22" s="43"/>
      <c r="F22" s="336"/>
      <c r="G22" s="98"/>
      <c r="H22" s="336"/>
      <c r="I22" s="99"/>
      <c r="J22" s="99"/>
      <c r="K22" s="258">
        <f>AVERAGE(J23:J24)</f>
        <v>100</v>
      </c>
      <c r="L22" s="247"/>
      <c r="M22" s="48"/>
      <c r="N22" s="275"/>
      <c r="O22" s="273"/>
      <c r="Q22" s="139"/>
      <c r="R22" s="4"/>
    </row>
    <row r="23" spans="1:18" ht="39.6" customHeight="1" x14ac:dyDescent="0.25">
      <c r="A23" s="2" t="s">
        <v>232</v>
      </c>
      <c r="B23" s="411" t="s">
        <v>233</v>
      </c>
      <c r="C23" s="411"/>
      <c r="D23" s="335">
        <v>0.76</v>
      </c>
      <c r="E23" s="19" t="s">
        <v>228</v>
      </c>
      <c r="F23" s="336">
        <v>36</v>
      </c>
      <c r="G23" s="98">
        <f>D24*F23</f>
        <v>28.080000000000002</v>
      </c>
      <c r="H23" s="336">
        <v>36</v>
      </c>
      <c r="I23" s="99">
        <f>H23/F23*100</f>
        <v>100</v>
      </c>
      <c r="J23" s="99">
        <f>IF(H23/G23*100&gt;=100,100,IF(H23/G23*100&lt;100,H23/G23*100))</f>
        <v>100</v>
      </c>
      <c r="K23" s="260"/>
      <c r="L23" s="247"/>
      <c r="M23" s="48" t="s">
        <v>1122</v>
      </c>
      <c r="N23" s="273"/>
      <c r="O23" s="273"/>
      <c r="Q23" s="139" t="s">
        <v>904</v>
      </c>
      <c r="R23" s="4" t="s">
        <v>375</v>
      </c>
    </row>
    <row r="24" spans="1:18" ht="51" customHeight="1" x14ac:dyDescent="0.25">
      <c r="A24" s="2" t="s">
        <v>219</v>
      </c>
      <c r="B24" s="411" t="s">
        <v>234</v>
      </c>
      <c r="C24" s="411"/>
      <c r="D24" s="335">
        <v>0.78</v>
      </c>
      <c r="E24" s="48" t="s">
        <v>480</v>
      </c>
      <c r="F24" s="336">
        <v>8</v>
      </c>
      <c r="G24" s="98">
        <f>D24*F24</f>
        <v>6.24</v>
      </c>
      <c r="H24" s="336">
        <v>8</v>
      </c>
      <c r="I24" s="99">
        <f>H24/F24*100</f>
        <v>100</v>
      </c>
      <c r="J24" s="99">
        <f>IF(H24/G24*100&gt;=100,100,IF(H24/G24*100&lt;100,H24/G24*100))</f>
        <v>100</v>
      </c>
      <c r="K24" s="260"/>
      <c r="L24" s="247"/>
      <c r="M24" s="48" t="s">
        <v>1122</v>
      </c>
      <c r="N24" s="273"/>
      <c r="O24" s="273"/>
      <c r="Q24" s="139" t="s">
        <v>905</v>
      </c>
      <c r="R24" s="4" t="s">
        <v>376</v>
      </c>
    </row>
    <row r="25" spans="1:18" ht="30.75" customHeight="1" x14ac:dyDescent="0.25">
      <c r="A25" s="67" t="s">
        <v>235</v>
      </c>
      <c r="B25" s="67"/>
      <c r="C25" s="67"/>
      <c r="D25" s="2"/>
      <c r="E25" s="43"/>
      <c r="F25" s="336"/>
      <c r="G25" s="98"/>
      <c r="H25" s="336"/>
      <c r="I25" s="227"/>
      <c r="J25" s="99"/>
      <c r="K25" s="258">
        <f>AVERAGE(J26:J28)</f>
        <v>100</v>
      </c>
      <c r="L25" s="247"/>
      <c r="M25" s="48"/>
      <c r="N25" s="275"/>
      <c r="O25" s="273"/>
      <c r="Q25" s="139"/>
      <c r="R25" s="4"/>
    </row>
    <row r="26" spans="1:18" ht="32.25" customHeight="1" x14ac:dyDescent="0.25">
      <c r="A26" s="2" t="s">
        <v>168</v>
      </c>
      <c r="B26" s="411" t="s">
        <v>236</v>
      </c>
      <c r="C26" s="411"/>
      <c r="D26" s="380">
        <v>0.98299999999999998</v>
      </c>
      <c r="E26" s="43" t="s">
        <v>237</v>
      </c>
      <c r="F26" s="336">
        <v>9</v>
      </c>
      <c r="G26" s="98">
        <f>D28*F26</f>
        <v>9</v>
      </c>
      <c r="H26" s="336">
        <v>9</v>
      </c>
      <c r="I26" s="99">
        <f>H26/F26*100</f>
        <v>100</v>
      </c>
      <c r="J26" s="99">
        <f>IF(H26/G26*100&gt;=100,100,IF(H26/G26*100&lt;100,H26/G26*100))</f>
        <v>100</v>
      </c>
      <c r="K26" s="260"/>
      <c r="L26" s="247"/>
      <c r="M26" s="48" t="s">
        <v>1122</v>
      </c>
      <c r="N26" s="273"/>
      <c r="O26" s="273"/>
      <c r="Q26" s="139" t="s">
        <v>906</v>
      </c>
      <c r="R26" s="4" t="s">
        <v>377</v>
      </c>
    </row>
    <row r="27" spans="1:18" ht="44.25" customHeight="1" x14ac:dyDescent="0.25">
      <c r="A27" s="2" t="s">
        <v>219</v>
      </c>
      <c r="B27" s="411" t="s">
        <v>238</v>
      </c>
      <c r="C27" s="411"/>
      <c r="D27" s="381">
        <v>0.17499999999999999</v>
      </c>
      <c r="E27" s="43" t="s">
        <v>237</v>
      </c>
      <c r="F27" s="336">
        <v>9</v>
      </c>
      <c r="G27" s="98">
        <f>D27*F27</f>
        <v>1.575</v>
      </c>
      <c r="H27" s="336">
        <v>9</v>
      </c>
      <c r="I27" s="99">
        <f>H27/F27*100</f>
        <v>100</v>
      </c>
      <c r="J27" s="99">
        <f>IF(H27/G27*100&gt;=100,100,IF(H27/G27*100&lt;100,H27/G27*100))</f>
        <v>100</v>
      </c>
      <c r="K27" s="260"/>
      <c r="L27" s="247"/>
      <c r="M27" s="48" t="s">
        <v>1122</v>
      </c>
      <c r="N27" s="273"/>
      <c r="O27" s="273"/>
      <c r="Q27" s="139" t="s">
        <v>907</v>
      </c>
      <c r="R27" s="4" t="s">
        <v>378</v>
      </c>
    </row>
    <row r="28" spans="1:18" ht="37.15" customHeight="1" x14ac:dyDescent="0.25">
      <c r="A28" s="2" t="s">
        <v>182</v>
      </c>
      <c r="B28" s="411" t="s">
        <v>239</v>
      </c>
      <c r="C28" s="411"/>
      <c r="D28" s="335">
        <v>1</v>
      </c>
      <c r="E28" s="43" t="s">
        <v>237</v>
      </c>
      <c r="F28" s="336">
        <v>9</v>
      </c>
      <c r="G28" s="98">
        <f>D30*F28</f>
        <v>9</v>
      </c>
      <c r="H28" s="336">
        <v>9</v>
      </c>
      <c r="I28" s="99">
        <f>H28/F28*100</f>
        <v>100</v>
      </c>
      <c r="J28" s="99">
        <f>IF(H28/G28*100&gt;=100,100,IF(H28/G28*100&lt;100,H28/G28*100))</f>
        <v>100</v>
      </c>
      <c r="K28" s="260"/>
      <c r="L28" s="247"/>
      <c r="M28" s="48" t="s">
        <v>1122</v>
      </c>
      <c r="N28" s="273"/>
      <c r="O28" s="275"/>
      <c r="Q28" s="139" t="s">
        <v>908</v>
      </c>
      <c r="R28" s="4" t="s">
        <v>379</v>
      </c>
    </row>
    <row r="29" spans="1:18" ht="29.25" customHeight="1" x14ac:dyDescent="0.25">
      <c r="A29" s="67" t="s">
        <v>240</v>
      </c>
      <c r="B29" s="67"/>
      <c r="C29" s="67"/>
      <c r="D29" s="382"/>
      <c r="E29" s="43"/>
      <c r="F29" s="383"/>
      <c r="G29" s="384"/>
      <c r="H29" s="336"/>
      <c r="I29" s="227"/>
      <c r="J29" s="99"/>
      <c r="K29" s="258">
        <f>AVERAGE(J30:J31)</f>
        <v>100</v>
      </c>
      <c r="L29" s="247"/>
      <c r="M29" s="48"/>
      <c r="N29" s="273"/>
      <c r="O29" s="275"/>
      <c r="Q29" s="139"/>
      <c r="R29" s="385"/>
    </row>
    <row r="30" spans="1:18" ht="81" customHeight="1" x14ac:dyDescent="0.25">
      <c r="A30" s="2" t="s">
        <v>168</v>
      </c>
      <c r="B30" s="411" t="s">
        <v>241</v>
      </c>
      <c r="C30" s="411"/>
      <c r="D30" s="335">
        <v>1</v>
      </c>
      <c r="E30" s="48" t="s">
        <v>242</v>
      </c>
      <c r="F30" s="336">
        <v>4</v>
      </c>
      <c r="G30" s="98">
        <f>D30*F30</f>
        <v>4</v>
      </c>
      <c r="H30" s="336">
        <v>4</v>
      </c>
      <c r="I30" s="99">
        <f>H30/F30*100</f>
        <v>100</v>
      </c>
      <c r="J30" s="99">
        <f>IF(H30/G30*100&gt;=100,100,IF(H30/G30*100&lt;100,H30/G30*100))</f>
        <v>100</v>
      </c>
      <c r="K30" s="260"/>
      <c r="L30" s="247"/>
      <c r="M30" s="48" t="s">
        <v>1122</v>
      </c>
      <c r="N30" s="273"/>
      <c r="O30" s="275"/>
      <c r="Q30" s="139" t="s">
        <v>909</v>
      </c>
      <c r="R30" s="4" t="s">
        <v>380</v>
      </c>
    </row>
    <row r="31" spans="1:18" ht="60.75" customHeight="1" x14ac:dyDescent="0.25">
      <c r="A31" s="2">
        <v>2</v>
      </c>
      <c r="B31" s="411" t="s">
        <v>243</v>
      </c>
      <c r="C31" s="411"/>
      <c r="D31" s="335">
        <v>1</v>
      </c>
      <c r="E31" s="19" t="s">
        <v>244</v>
      </c>
      <c r="F31" s="336">
        <v>81</v>
      </c>
      <c r="G31" s="98">
        <f>D31*F31</f>
        <v>81</v>
      </c>
      <c r="H31" s="336">
        <v>81</v>
      </c>
      <c r="I31" s="99">
        <f>H31/F31*100</f>
        <v>100</v>
      </c>
      <c r="J31" s="99">
        <f>IF(H31/G31*100&gt;=100,100,IF(H31/G31*100&lt;100,H31/G31*100))</f>
        <v>100</v>
      </c>
      <c r="K31" s="260"/>
      <c r="L31" s="247"/>
      <c r="M31" s="48" t="s">
        <v>1122</v>
      </c>
      <c r="N31" s="273"/>
      <c r="O31" s="275"/>
      <c r="Q31" s="139" t="s">
        <v>910</v>
      </c>
      <c r="R31" s="4" t="s">
        <v>381</v>
      </c>
    </row>
    <row r="32" spans="1:18" ht="27.75" customHeight="1" x14ac:dyDescent="0.25">
      <c r="A32" s="39" t="s">
        <v>582</v>
      </c>
      <c r="B32" s="64"/>
      <c r="C32" s="39"/>
      <c r="D32" s="2"/>
      <c r="E32" s="43"/>
      <c r="F32" s="250"/>
      <c r="G32" s="98"/>
      <c r="H32" s="98"/>
      <c r="I32" s="227"/>
      <c r="J32" s="99"/>
      <c r="K32" s="260"/>
      <c r="L32" s="261">
        <f>AVERAGE(K33,K38,K41,K44,K48)</f>
        <v>93.333333333333343</v>
      </c>
      <c r="M32" s="210"/>
      <c r="N32" s="273"/>
      <c r="O32" s="275"/>
      <c r="Q32" s="139"/>
      <c r="R32" s="4"/>
    </row>
    <row r="33" spans="1:18" ht="26.25" customHeight="1" x14ac:dyDescent="0.25">
      <c r="A33" s="415" t="s">
        <v>382</v>
      </c>
      <c r="B33" s="415"/>
      <c r="C33" s="415"/>
      <c r="D33" s="2"/>
      <c r="E33" s="43"/>
      <c r="F33" s="250"/>
      <c r="G33" s="98"/>
      <c r="H33" s="98"/>
      <c r="I33" s="227"/>
      <c r="J33" s="99"/>
      <c r="K33" s="258">
        <f>AVERAGE(J34:J37)</f>
        <v>100</v>
      </c>
      <c r="L33" s="98"/>
      <c r="M33" s="210"/>
      <c r="N33" s="273"/>
      <c r="O33" s="275"/>
      <c r="Q33" s="139"/>
      <c r="R33" s="4"/>
    </row>
    <row r="34" spans="1:18" ht="70.5" customHeight="1" x14ac:dyDescent="0.25">
      <c r="A34" s="2" t="s">
        <v>232</v>
      </c>
      <c r="B34" s="411" t="s">
        <v>708</v>
      </c>
      <c r="C34" s="411"/>
      <c r="D34" s="335">
        <v>0.5</v>
      </c>
      <c r="E34" s="2" t="s">
        <v>716</v>
      </c>
      <c r="F34" s="364">
        <v>138</v>
      </c>
      <c r="G34" s="98">
        <f>D34*F34</f>
        <v>69</v>
      </c>
      <c r="H34" s="249">
        <v>94</v>
      </c>
      <c r="I34" s="99">
        <f>H34/F34*100</f>
        <v>68.115942028985515</v>
      </c>
      <c r="J34" s="99">
        <f>IF(H34/G34*100&gt;=100,100,IF(H34/G34*100&lt;100,H34/G34*100))</f>
        <v>100</v>
      </c>
      <c r="K34" s="260"/>
      <c r="L34" s="98"/>
      <c r="M34" s="48" t="s">
        <v>1122</v>
      </c>
      <c r="N34" s="330"/>
      <c r="O34" s="330"/>
      <c r="Q34" s="139" t="s">
        <v>911</v>
      </c>
      <c r="R34" s="3" t="s">
        <v>711</v>
      </c>
    </row>
    <row r="35" spans="1:18" ht="50.25" customHeight="1" x14ac:dyDescent="0.25">
      <c r="A35" s="2" t="s">
        <v>219</v>
      </c>
      <c r="B35" s="411" t="s">
        <v>709</v>
      </c>
      <c r="C35" s="411"/>
      <c r="D35" s="335">
        <v>0.9</v>
      </c>
      <c r="E35" s="2" t="s">
        <v>716</v>
      </c>
      <c r="F35" s="365">
        <v>94</v>
      </c>
      <c r="G35" s="98">
        <f>D35*F35</f>
        <v>84.600000000000009</v>
      </c>
      <c r="H35" s="249">
        <v>94</v>
      </c>
      <c r="I35" s="99">
        <f>H35/F35*100</f>
        <v>100</v>
      </c>
      <c r="J35" s="99">
        <f>IF(H35/G35*100&gt;=100,100,IF(H35/G35*100&lt;100,H35/G35*100))</f>
        <v>100</v>
      </c>
      <c r="K35" s="260"/>
      <c r="L35" s="98"/>
      <c r="M35" s="48" t="s">
        <v>1122</v>
      </c>
      <c r="N35" s="275"/>
      <c r="O35" s="273"/>
      <c r="Q35" s="139" t="s">
        <v>912</v>
      </c>
      <c r="R35" s="4" t="s">
        <v>712</v>
      </c>
    </row>
    <row r="36" spans="1:18" ht="66.75" customHeight="1" x14ac:dyDescent="0.25">
      <c r="A36" s="2" t="s">
        <v>182</v>
      </c>
      <c r="B36" s="412" t="s">
        <v>710</v>
      </c>
      <c r="C36" s="413"/>
      <c r="D36" s="335">
        <v>0.72</v>
      </c>
      <c r="E36" s="2" t="s">
        <v>716</v>
      </c>
      <c r="F36" s="365">
        <v>94</v>
      </c>
      <c r="G36" s="98">
        <f>D36*F36</f>
        <v>67.679999999999993</v>
      </c>
      <c r="H36" s="249">
        <v>94</v>
      </c>
      <c r="I36" s="99">
        <f>H36/F36*100</f>
        <v>100</v>
      </c>
      <c r="J36" s="99">
        <f>IF(H36/G36*100&gt;=100,100,IF(H36/G36*100&lt;100,H36/G36*100))</f>
        <v>100</v>
      </c>
      <c r="K36" s="260"/>
      <c r="L36" s="98"/>
      <c r="M36" s="48" t="s">
        <v>1122</v>
      </c>
      <c r="N36" s="330"/>
      <c r="O36" s="330"/>
      <c r="Q36" s="139" t="s">
        <v>913</v>
      </c>
      <c r="R36" s="4" t="s">
        <v>713</v>
      </c>
    </row>
    <row r="37" spans="1:18" ht="65.25" customHeight="1" x14ac:dyDescent="0.25">
      <c r="A37" s="2" t="s">
        <v>257</v>
      </c>
      <c r="B37" s="411" t="s">
        <v>715</v>
      </c>
      <c r="C37" s="411"/>
      <c r="D37" s="335">
        <v>0.15</v>
      </c>
      <c r="E37" s="2" t="s">
        <v>716</v>
      </c>
      <c r="F37" s="250">
        <v>94</v>
      </c>
      <c r="G37" s="98">
        <f>D37*F37</f>
        <v>14.1</v>
      </c>
      <c r="H37" s="249">
        <v>81</v>
      </c>
      <c r="I37" s="99">
        <f>H37/F37*100</f>
        <v>86.170212765957444</v>
      </c>
      <c r="J37" s="99">
        <f>IF(H37/G37*100&gt;=100,100,IF(H37/G37*100&lt;100,H37/G37*100))</f>
        <v>100</v>
      </c>
      <c r="K37" s="260"/>
      <c r="L37" s="98"/>
      <c r="M37" s="48" t="s">
        <v>1122</v>
      </c>
      <c r="N37" s="330"/>
      <c r="O37" s="330"/>
      <c r="P37" s="366"/>
      <c r="Q37" s="4" t="s">
        <v>914</v>
      </c>
      <c r="R37" s="4" t="s">
        <v>714</v>
      </c>
    </row>
    <row r="38" spans="1:18" ht="41.25" customHeight="1" x14ac:dyDescent="0.25">
      <c r="A38" s="414" t="s">
        <v>717</v>
      </c>
      <c r="B38" s="414"/>
      <c r="C38" s="414"/>
      <c r="D38" s="414"/>
      <c r="E38" s="414"/>
      <c r="F38" s="250"/>
      <c r="G38" s="98"/>
      <c r="H38" s="249"/>
      <c r="I38" s="227"/>
      <c r="J38" s="99"/>
      <c r="K38" s="260">
        <f>AVERAGE(J39:J40)</f>
        <v>100</v>
      </c>
      <c r="L38" s="247"/>
      <c r="M38" s="224"/>
      <c r="N38" s="275"/>
      <c r="O38" s="367"/>
      <c r="P38" s="366"/>
      <c r="Q38" s="4"/>
      <c r="R38" s="4"/>
    </row>
    <row r="39" spans="1:18" ht="53.25" customHeight="1" x14ac:dyDescent="0.25">
      <c r="A39" s="64" t="s">
        <v>168</v>
      </c>
      <c r="B39" s="411" t="s">
        <v>718</v>
      </c>
      <c r="C39" s="411"/>
      <c r="D39" s="335">
        <v>0.68</v>
      </c>
      <c r="E39" s="43" t="s">
        <v>895</v>
      </c>
      <c r="F39" s="368">
        <v>32</v>
      </c>
      <c r="G39" s="98">
        <f>D39*F39</f>
        <v>21.76</v>
      </c>
      <c r="H39" s="249">
        <v>30</v>
      </c>
      <c r="I39" s="99">
        <f>H39/F39*100</f>
        <v>93.75</v>
      </c>
      <c r="J39" s="99">
        <f>IF(H39/G39*100&gt;=100,100,IF(H39/G39*100&lt;100,H39/G39*100))</f>
        <v>100</v>
      </c>
      <c r="K39" s="260"/>
      <c r="L39" s="247"/>
      <c r="M39" s="48" t="s">
        <v>1122</v>
      </c>
      <c r="N39" s="273"/>
      <c r="O39" s="367"/>
      <c r="P39" s="366"/>
      <c r="Q39" s="4" t="s">
        <v>915</v>
      </c>
      <c r="R39" s="4" t="s">
        <v>720</v>
      </c>
    </row>
    <row r="40" spans="1:18" ht="49.5" customHeight="1" x14ac:dyDescent="0.25">
      <c r="A40" s="64" t="s">
        <v>219</v>
      </c>
      <c r="B40" s="411" t="s">
        <v>719</v>
      </c>
      <c r="C40" s="411"/>
      <c r="D40" s="335">
        <v>0.55000000000000004</v>
      </c>
      <c r="E40" s="43" t="s">
        <v>895</v>
      </c>
      <c r="F40" s="369">
        <v>28</v>
      </c>
      <c r="G40" s="98">
        <f>D40*F40</f>
        <v>15.400000000000002</v>
      </c>
      <c r="H40" s="249">
        <v>18</v>
      </c>
      <c r="I40" s="99">
        <f>H40/F40*100</f>
        <v>64.285714285714292</v>
      </c>
      <c r="J40" s="99">
        <f>IF(H40/G40*100&gt;=100,100,IF(H40/G40*100&lt;100,H40/G40*100))</f>
        <v>100</v>
      </c>
      <c r="K40" s="260"/>
      <c r="L40" s="247"/>
      <c r="M40" s="48" t="s">
        <v>1122</v>
      </c>
      <c r="N40" s="273"/>
      <c r="O40" s="273"/>
      <c r="Q40" s="139" t="s">
        <v>916</v>
      </c>
      <c r="R40" s="4" t="s">
        <v>721</v>
      </c>
    </row>
    <row r="41" spans="1:18" ht="25.5" customHeight="1" x14ac:dyDescent="0.25">
      <c r="A41" s="408" t="s">
        <v>1114</v>
      </c>
      <c r="B41" s="409"/>
      <c r="C41" s="409"/>
      <c r="D41" s="409"/>
      <c r="E41" s="423"/>
      <c r="F41" s="250"/>
      <c r="G41" s="98"/>
      <c r="H41" s="249"/>
      <c r="I41" s="227"/>
      <c r="J41" s="99"/>
      <c r="K41" s="260">
        <f>AVERAGE(J42:J43)</f>
        <v>100</v>
      </c>
      <c r="L41" s="247"/>
      <c r="M41" s="48"/>
      <c r="N41" s="273"/>
      <c r="O41" s="273"/>
      <c r="Q41" s="139"/>
      <c r="R41" s="4"/>
    </row>
    <row r="42" spans="1:18" ht="69" customHeight="1" x14ac:dyDescent="0.25">
      <c r="A42" s="64" t="s">
        <v>168</v>
      </c>
      <c r="B42" s="411" t="s">
        <v>1115</v>
      </c>
      <c r="C42" s="411"/>
      <c r="D42" s="335">
        <v>0.8</v>
      </c>
      <c r="E42" s="43" t="s">
        <v>245</v>
      </c>
      <c r="F42" s="368">
        <v>21</v>
      </c>
      <c r="G42" s="98">
        <f>D42*F42</f>
        <v>16.8</v>
      </c>
      <c r="H42" s="249">
        <v>21</v>
      </c>
      <c r="I42" s="99">
        <f>H42/F42*100</f>
        <v>100</v>
      </c>
      <c r="J42" s="99">
        <f>IF(H42/G42*100&gt;=100,100,IF(H42/G42*100&lt;100,H42/G42*100))</f>
        <v>100</v>
      </c>
      <c r="K42" s="260"/>
      <c r="L42" s="247"/>
      <c r="M42" s="48" t="s">
        <v>1122</v>
      </c>
      <c r="N42" s="330"/>
      <c r="O42" s="330"/>
      <c r="Q42" s="139" t="s">
        <v>917</v>
      </c>
      <c r="R42" s="4" t="s">
        <v>383</v>
      </c>
    </row>
    <row r="43" spans="1:18" ht="53.45" customHeight="1" x14ac:dyDescent="0.25">
      <c r="A43" s="2" t="s">
        <v>219</v>
      </c>
      <c r="B43" s="411" t="s">
        <v>1116</v>
      </c>
      <c r="C43" s="411"/>
      <c r="D43" s="335">
        <v>0.3</v>
      </c>
      <c r="E43" s="43" t="s">
        <v>245</v>
      </c>
      <c r="F43" s="369">
        <v>21</v>
      </c>
      <c r="G43" s="98">
        <f>D43*F43</f>
        <v>6.3</v>
      </c>
      <c r="H43" s="249">
        <v>19</v>
      </c>
      <c r="I43" s="99">
        <f>H43/F43*100</f>
        <v>90.476190476190482</v>
      </c>
      <c r="J43" s="99">
        <f>IF(H43/G43*100&gt;=100,100,IF(H43/G43*100&lt;100,H43/G43*100))</f>
        <v>100</v>
      </c>
      <c r="K43" s="260"/>
      <c r="L43" s="247"/>
      <c r="M43" s="48" t="s">
        <v>1122</v>
      </c>
      <c r="N43" s="273"/>
      <c r="O43" s="273"/>
      <c r="Q43" s="139" t="s">
        <v>918</v>
      </c>
      <c r="R43" s="4" t="s">
        <v>384</v>
      </c>
    </row>
    <row r="44" spans="1:18" ht="29.25" customHeight="1" x14ac:dyDescent="0.25">
      <c r="A44" s="40" t="s">
        <v>385</v>
      </c>
      <c r="B44" s="41"/>
      <c r="C44" s="42"/>
      <c r="D44" s="2"/>
      <c r="E44" s="43"/>
      <c r="F44" s="370"/>
      <c r="G44" s="371"/>
      <c r="H44" s="249"/>
      <c r="I44" s="99"/>
      <c r="J44" s="372"/>
      <c r="K44" s="259">
        <f>AVERAGE(J45:J47)</f>
        <v>100</v>
      </c>
      <c r="L44" s="247"/>
      <c r="M44" s="210"/>
      <c r="N44" s="273"/>
      <c r="O44" s="273"/>
      <c r="Q44" s="139"/>
      <c r="R44" s="4"/>
    </row>
    <row r="45" spans="1:18" ht="48.75" customHeight="1" x14ac:dyDescent="0.25">
      <c r="A45" s="64" t="s">
        <v>168</v>
      </c>
      <c r="B45" s="411" t="s">
        <v>246</v>
      </c>
      <c r="C45" s="411"/>
      <c r="D45" s="335">
        <v>0.1</v>
      </c>
      <c r="E45" s="43" t="s">
        <v>481</v>
      </c>
      <c r="F45" s="368">
        <v>1183</v>
      </c>
      <c r="G45" s="98">
        <f>D45*F45</f>
        <v>118.30000000000001</v>
      </c>
      <c r="H45" s="249">
        <v>311</v>
      </c>
      <c r="I45" s="99">
        <f>H45/F45*100</f>
        <v>26.289095519864752</v>
      </c>
      <c r="J45" s="99">
        <f>IF(H45/G45*100&gt;=100,100,IF(H45/G45*100&lt;100,H45/G45*100))</f>
        <v>100</v>
      </c>
      <c r="K45" s="260"/>
      <c r="L45" s="247"/>
      <c r="M45" s="48" t="s">
        <v>1122</v>
      </c>
      <c r="N45" s="273"/>
      <c r="O45" s="273"/>
      <c r="Q45" s="139" t="s">
        <v>919</v>
      </c>
      <c r="R45" s="4" t="s">
        <v>386</v>
      </c>
    </row>
    <row r="46" spans="1:18" ht="51.75" customHeight="1" x14ac:dyDescent="0.25">
      <c r="A46" s="2" t="s">
        <v>175</v>
      </c>
      <c r="B46" s="411" t="s">
        <v>722</v>
      </c>
      <c r="C46" s="411"/>
      <c r="D46" s="335">
        <v>0.2</v>
      </c>
      <c r="E46" s="43" t="s">
        <v>481</v>
      </c>
      <c r="F46" s="369">
        <v>311</v>
      </c>
      <c r="G46" s="98">
        <f>D46*F46</f>
        <v>62.2</v>
      </c>
      <c r="H46" s="249">
        <v>69</v>
      </c>
      <c r="I46" s="99">
        <f>H46/F46*100</f>
        <v>22.186495176848876</v>
      </c>
      <c r="J46" s="99">
        <f>IF(H46/G46*100&gt;=100,100,IF(H46/G46*100&lt;100,H46/G46*100))</f>
        <v>100</v>
      </c>
      <c r="K46" s="260"/>
      <c r="L46" s="247"/>
      <c r="M46" s="48" t="s">
        <v>1122</v>
      </c>
      <c r="N46" s="273"/>
      <c r="O46" s="273"/>
      <c r="Q46" s="139" t="s">
        <v>920</v>
      </c>
      <c r="R46" s="4" t="s">
        <v>724</v>
      </c>
    </row>
    <row r="47" spans="1:18" ht="37.15" customHeight="1" x14ac:dyDescent="0.25">
      <c r="A47" s="2" t="s">
        <v>182</v>
      </c>
      <c r="B47" s="411" t="s">
        <v>723</v>
      </c>
      <c r="C47" s="411"/>
      <c r="D47" s="335">
        <v>0.4</v>
      </c>
      <c r="E47" s="43" t="s">
        <v>481</v>
      </c>
      <c r="F47" s="369">
        <v>69</v>
      </c>
      <c r="G47" s="98">
        <f>D47*F47</f>
        <v>27.6</v>
      </c>
      <c r="H47" s="249">
        <v>69</v>
      </c>
      <c r="I47" s="99">
        <f>H47/F47*100</f>
        <v>100</v>
      </c>
      <c r="J47" s="99">
        <f>IF(H47/G47*100&gt;=100,100,IF(H47/G47*100&lt;100,H47/G47*100))</f>
        <v>100</v>
      </c>
      <c r="K47" s="260"/>
      <c r="L47" s="247"/>
      <c r="M47" s="48" t="s">
        <v>1122</v>
      </c>
      <c r="N47" s="273"/>
      <c r="O47" s="273"/>
      <c r="Q47" s="139" t="s">
        <v>921</v>
      </c>
      <c r="R47" s="4" t="s">
        <v>725</v>
      </c>
    </row>
    <row r="48" spans="1:18" ht="33.6" customHeight="1" x14ac:dyDescent="0.25">
      <c r="A48" s="414" t="s">
        <v>387</v>
      </c>
      <c r="B48" s="414"/>
      <c r="C48" s="414"/>
      <c r="D48" s="414"/>
      <c r="E48" s="414"/>
      <c r="F48" s="373"/>
      <c r="G48" s="374"/>
      <c r="H48" s="249"/>
      <c r="I48" s="227"/>
      <c r="J48" s="99"/>
      <c r="K48" s="260">
        <f>AVERAGE(J49:J51)</f>
        <v>66.666666666666671</v>
      </c>
      <c r="L48" s="247"/>
      <c r="M48" s="210"/>
      <c r="N48" s="273"/>
      <c r="O48" s="273"/>
      <c r="Q48" s="139"/>
      <c r="R48" s="375"/>
    </row>
    <row r="49" spans="1:18" ht="54.75" customHeight="1" x14ac:dyDescent="0.25">
      <c r="A49" s="64" t="s">
        <v>232</v>
      </c>
      <c r="B49" s="411" t="s">
        <v>388</v>
      </c>
      <c r="C49" s="411"/>
      <c r="D49" s="335">
        <v>0.9</v>
      </c>
      <c r="E49" s="43" t="s">
        <v>482</v>
      </c>
      <c r="F49" s="250">
        <v>9</v>
      </c>
      <c r="G49" s="98">
        <f>D49*F49</f>
        <v>8.1</v>
      </c>
      <c r="H49" s="249">
        <v>9</v>
      </c>
      <c r="I49" s="99">
        <f>H49/F49*100</f>
        <v>100</v>
      </c>
      <c r="J49" s="99">
        <f>IF(H49/G49*100&gt;=100,100,IF(H49/G49*100&lt;100,H49/G49*100))</f>
        <v>100</v>
      </c>
      <c r="K49" s="260"/>
      <c r="L49" s="247"/>
      <c r="M49" s="48" t="s">
        <v>1122</v>
      </c>
      <c r="N49" s="273"/>
      <c r="O49" s="273"/>
      <c r="Q49" s="139" t="s">
        <v>922</v>
      </c>
      <c r="R49" s="4" t="s">
        <v>389</v>
      </c>
    </row>
    <row r="50" spans="1:18" ht="60" customHeight="1" x14ac:dyDescent="0.25">
      <c r="A50" s="2" t="s">
        <v>175</v>
      </c>
      <c r="B50" s="411" t="s">
        <v>726</v>
      </c>
      <c r="C50" s="411"/>
      <c r="D50" s="335">
        <v>0.3</v>
      </c>
      <c r="E50" s="43" t="s">
        <v>482</v>
      </c>
      <c r="F50" s="250">
        <v>9</v>
      </c>
      <c r="G50" s="98">
        <f>D50*F50</f>
        <v>2.6999999999999997</v>
      </c>
      <c r="H50" s="249">
        <v>3</v>
      </c>
      <c r="I50" s="99">
        <f>H50/F50*100</f>
        <v>33.333333333333329</v>
      </c>
      <c r="J50" s="99">
        <f>IF(H50/G50*100&gt;=100,100,IF(H50/G50*100&lt;100,H50/G50*100))</f>
        <v>100</v>
      </c>
      <c r="K50" s="260"/>
      <c r="L50" s="247"/>
      <c r="M50" s="48" t="s">
        <v>1122</v>
      </c>
      <c r="N50" s="376"/>
      <c r="O50" s="273"/>
      <c r="Q50" s="139" t="s">
        <v>923</v>
      </c>
      <c r="R50" s="4" t="s">
        <v>727</v>
      </c>
    </row>
    <row r="51" spans="1:18" ht="75" customHeight="1" x14ac:dyDescent="0.25">
      <c r="A51" s="2" t="s">
        <v>222</v>
      </c>
      <c r="B51" s="411" t="s">
        <v>390</v>
      </c>
      <c r="C51" s="411"/>
      <c r="D51" s="335">
        <v>0.15</v>
      </c>
      <c r="E51" s="43" t="s">
        <v>482</v>
      </c>
      <c r="F51" s="250">
        <v>9</v>
      </c>
      <c r="G51" s="98">
        <f>D51*F51</f>
        <v>1.3499999999999999</v>
      </c>
      <c r="H51" s="249">
        <v>0</v>
      </c>
      <c r="I51" s="99">
        <f>H51/F51*100</f>
        <v>0</v>
      </c>
      <c r="J51" s="99">
        <f>IF(H51/G51*100&gt;=100,100,IF(H51/G51*100&lt;100,H51/G51*100))</f>
        <v>0</v>
      </c>
      <c r="K51" s="260"/>
      <c r="L51" s="247"/>
      <c r="M51" s="48" t="s">
        <v>1131</v>
      </c>
      <c r="N51" s="377" t="s">
        <v>1206</v>
      </c>
      <c r="O51" s="319" t="s">
        <v>1207</v>
      </c>
      <c r="Q51" s="139" t="s">
        <v>924</v>
      </c>
      <c r="R51" s="4" t="s">
        <v>728</v>
      </c>
    </row>
    <row r="52" spans="1:18" ht="32.450000000000003" customHeight="1" x14ac:dyDescent="0.25">
      <c r="A52" s="68" t="s">
        <v>391</v>
      </c>
      <c r="B52" s="419" t="s">
        <v>584</v>
      </c>
      <c r="C52" s="419"/>
      <c r="D52" s="419"/>
      <c r="E52" s="419"/>
      <c r="F52" s="271"/>
      <c r="G52" s="98"/>
      <c r="H52" s="226"/>
      <c r="I52" s="227"/>
      <c r="J52" s="99"/>
      <c r="K52" s="260"/>
      <c r="L52" s="261">
        <f>AVERAGE(K53,K59,K64,K67,K73,K76)</f>
        <v>86.601674789080491</v>
      </c>
      <c r="M52" s="210"/>
      <c r="N52" s="273"/>
      <c r="O52" s="273"/>
      <c r="Q52" s="139"/>
      <c r="R52" s="6"/>
    </row>
    <row r="53" spans="1:18" ht="24" customHeight="1" x14ac:dyDescent="0.25">
      <c r="A53" s="444" t="s">
        <v>248</v>
      </c>
      <c r="B53" s="444"/>
      <c r="C53" s="444"/>
      <c r="D53" s="117"/>
      <c r="E53" s="48"/>
      <c r="F53" s="271"/>
      <c r="G53" s="98"/>
      <c r="H53" s="226"/>
      <c r="I53" s="227"/>
      <c r="J53" s="99"/>
      <c r="K53" s="258">
        <f>AVERAGE(J54:J58)</f>
        <v>87.503321377876802</v>
      </c>
      <c r="L53" s="98"/>
      <c r="M53" s="210"/>
      <c r="N53" s="273"/>
      <c r="O53" s="273"/>
      <c r="Q53" s="139"/>
      <c r="R53" s="6"/>
    </row>
    <row r="54" spans="1:18" ht="51.75" customHeight="1" x14ac:dyDescent="0.25">
      <c r="A54" s="19" t="s">
        <v>232</v>
      </c>
      <c r="B54" s="410" t="s">
        <v>249</v>
      </c>
      <c r="C54" s="410"/>
      <c r="D54" s="345">
        <v>1</v>
      </c>
      <c r="E54" s="48" t="s">
        <v>483</v>
      </c>
      <c r="F54" s="307">
        <v>415</v>
      </c>
      <c r="G54" s="98">
        <f>D54*F54</f>
        <v>415</v>
      </c>
      <c r="H54" s="336">
        <v>367</v>
      </c>
      <c r="I54" s="99">
        <f>H54/F54*100</f>
        <v>88.433734939759034</v>
      </c>
      <c r="J54" s="99">
        <f>IF(H54/G54*100&gt;=100,100,IF(H54/G54*100&lt;100,H54/G54*100))</f>
        <v>88.433734939759034</v>
      </c>
      <c r="K54" s="260"/>
      <c r="L54" s="98"/>
      <c r="M54" s="48" t="s">
        <v>1131</v>
      </c>
      <c r="N54" s="362" t="s">
        <v>1181</v>
      </c>
      <c r="O54" s="362" t="s">
        <v>1182</v>
      </c>
      <c r="Q54" s="139" t="s">
        <v>925</v>
      </c>
      <c r="R54" s="6" t="s">
        <v>392</v>
      </c>
    </row>
    <row r="55" spans="1:18" ht="63.75" customHeight="1" x14ac:dyDescent="0.25">
      <c r="A55" s="19">
        <v>2</v>
      </c>
      <c r="B55" s="410" t="s">
        <v>250</v>
      </c>
      <c r="C55" s="410"/>
      <c r="D55" s="345">
        <v>1</v>
      </c>
      <c r="E55" s="48" t="s">
        <v>481</v>
      </c>
      <c r="F55" s="307">
        <v>396</v>
      </c>
      <c r="G55" s="98">
        <f>D55*F55</f>
        <v>396</v>
      </c>
      <c r="H55" s="336">
        <v>296</v>
      </c>
      <c r="I55" s="99">
        <f>H55/F55*100</f>
        <v>74.747474747474755</v>
      </c>
      <c r="J55" s="99">
        <f>IF(H55/G55*100&gt;=100,100,IF(H55/G55*100&lt;100,H55/G55*100))</f>
        <v>74.747474747474755</v>
      </c>
      <c r="K55" s="247"/>
      <c r="L55" s="247"/>
      <c r="M55" s="48" t="s">
        <v>1131</v>
      </c>
      <c r="N55" s="362" t="s">
        <v>1183</v>
      </c>
      <c r="O55" s="362" t="s">
        <v>1184</v>
      </c>
      <c r="Q55" s="139" t="s">
        <v>926</v>
      </c>
      <c r="R55" s="6" t="s">
        <v>393</v>
      </c>
    </row>
    <row r="56" spans="1:18" ht="71.25" customHeight="1" x14ac:dyDescent="0.25">
      <c r="A56" s="19">
        <v>3</v>
      </c>
      <c r="B56" s="410" t="s">
        <v>251</v>
      </c>
      <c r="C56" s="410"/>
      <c r="D56" s="345">
        <v>0.92</v>
      </c>
      <c r="E56" s="48" t="s">
        <v>481</v>
      </c>
      <c r="F56" s="307">
        <v>396</v>
      </c>
      <c r="G56" s="98">
        <f>D56*F56</f>
        <v>364.32</v>
      </c>
      <c r="H56" s="336">
        <v>296</v>
      </c>
      <c r="I56" s="99">
        <f>H56/F56*100</f>
        <v>74.747474747474755</v>
      </c>
      <c r="J56" s="99">
        <f>IF(H56/G56*100&gt;=100,100,IF(H56/G56*100&lt;100,H56/G56*100))</f>
        <v>81.247255160298636</v>
      </c>
      <c r="K56" s="247"/>
      <c r="L56" s="247"/>
      <c r="M56" s="48" t="s">
        <v>1131</v>
      </c>
      <c r="N56" s="362" t="s">
        <v>1183</v>
      </c>
      <c r="O56" s="362" t="s">
        <v>1184</v>
      </c>
      <c r="Q56" s="139" t="s">
        <v>927</v>
      </c>
      <c r="R56" s="6" t="s">
        <v>394</v>
      </c>
    </row>
    <row r="57" spans="1:18" ht="38.25" customHeight="1" x14ac:dyDescent="0.25">
      <c r="A57" s="19">
        <v>4</v>
      </c>
      <c r="B57" s="411" t="s">
        <v>252</v>
      </c>
      <c r="C57" s="411"/>
      <c r="D57" s="345">
        <v>0.8</v>
      </c>
      <c r="E57" s="48" t="s">
        <v>481</v>
      </c>
      <c r="F57" s="307">
        <v>83</v>
      </c>
      <c r="G57" s="98">
        <f>D57*F57</f>
        <v>66.400000000000006</v>
      </c>
      <c r="H57" s="336">
        <v>76</v>
      </c>
      <c r="I57" s="99">
        <f>H57/F57*100</f>
        <v>91.566265060240966</v>
      </c>
      <c r="J57" s="363">
        <f>IF(H57/G57*100&gt;=100,100,IF(H57/G57*100&lt;100,H57/G57*100))</f>
        <v>100</v>
      </c>
      <c r="K57" s="247"/>
      <c r="L57" s="247"/>
      <c r="M57" s="48" t="s">
        <v>1122</v>
      </c>
      <c r="N57" s="275"/>
      <c r="O57" s="275"/>
      <c r="Q57" s="139" t="s">
        <v>928</v>
      </c>
      <c r="R57" s="6" t="s">
        <v>395</v>
      </c>
    </row>
    <row r="58" spans="1:18" ht="51" customHeight="1" x14ac:dyDescent="0.25">
      <c r="A58" s="19">
        <v>5</v>
      </c>
      <c r="B58" s="410" t="s">
        <v>253</v>
      </c>
      <c r="C58" s="410"/>
      <c r="D58" s="345">
        <v>0.95</v>
      </c>
      <c r="E58" s="48" t="s">
        <v>483</v>
      </c>
      <c r="F58" s="307">
        <v>415</v>
      </c>
      <c r="G58" s="98">
        <f>D58*F58</f>
        <v>394.25</v>
      </c>
      <c r="H58" s="336">
        <v>367</v>
      </c>
      <c r="I58" s="99">
        <f>H58/F58*100</f>
        <v>88.433734939759034</v>
      </c>
      <c r="J58" s="99">
        <f>IF(H58/G58*100&gt;=100,100,IF(H58/G58*100&lt;100,H58/G58*100))</f>
        <v>93.088142041851611</v>
      </c>
      <c r="K58" s="247"/>
      <c r="L58" s="247"/>
      <c r="M58" s="48" t="s">
        <v>1131</v>
      </c>
      <c r="N58" s="362" t="s">
        <v>1181</v>
      </c>
      <c r="O58" s="362" t="s">
        <v>1182</v>
      </c>
      <c r="Q58" s="139" t="s">
        <v>929</v>
      </c>
      <c r="R58" s="6" t="s">
        <v>396</v>
      </c>
    </row>
    <row r="59" spans="1:18" ht="25.5" customHeight="1" x14ac:dyDescent="0.25">
      <c r="A59" s="444" t="s">
        <v>397</v>
      </c>
      <c r="B59" s="444"/>
      <c r="C59" s="444"/>
      <c r="D59" s="19"/>
      <c r="E59" s="48"/>
      <c r="F59" s="307"/>
      <c r="G59" s="98"/>
      <c r="H59" s="250"/>
      <c r="I59" s="227"/>
      <c r="J59" s="99"/>
      <c r="K59" s="258">
        <f>AVERAGE(J60:J63)</f>
        <v>82.245544416597042</v>
      </c>
      <c r="L59" s="247"/>
      <c r="M59" s="224"/>
      <c r="N59" s="275"/>
      <c r="O59" s="273"/>
      <c r="Q59" s="139"/>
      <c r="R59" s="6"/>
    </row>
    <row r="60" spans="1:18" ht="60" customHeight="1" x14ac:dyDescent="0.25">
      <c r="A60" s="19" t="s">
        <v>168</v>
      </c>
      <c r="B60" s="410" t="s">
        <v>254</v>
      </c>
      <c r="C60" s="410"/>
      <c r="D60" s="345">
        <v>1</v>
      </c>
      <c r="E60" s="48" t="s">
        <v>294</v>
      </c>
      <c r="F60" s="307">
        <v>378</v>
      </c>
      <c r="G60" s="98">
        <f>D60*F60</f>
        <v>378</v>
      </c>
      <c r="H60" s="336">
        <v>296</v>
      </c>
      <c r="I60" s="99">
        <f>H60/F60*100</f>
        <v>78.306878306878303</v>
      </c>
      <c r="J60" s="99">
        <f>IF(H60/G60*100&gt;=100,100,IF(H60/G60*100&lt;100,H60/G60*100))</f>
        <v>78.306878306878303</v>
      </c>
      <c r="K60" s="260"/>
      <c r="L60" s="247"/>
      <c r="M60" s="48" t="s">
        <v>1131</v>
      </c>
      <c r="N60" s="275" t="s">
        <v>1185</v>
      </c>
      <c r="O60" s="355" t="s">
        <v>1186</v>
      </c>
      <c r="Q60" s="139" t="s">
        <v>930</v>
      </c>
      <c r="R60" s="6" t="s">
        <v>398</v>
      </c>
    </row>
    <row r="61" spans="1:18" ht="75" customHeight="1" x14ac:dyDescent="0.25">
      <c r="A61" s="19" t="s">
        <v>219</v>
      </c>
      <c r="B61" s="410" t="s">
        <v>255</v>
      </c>
      <c r="C61" s="410"/>
      <c r="D61" s="345">
        <v>1</v>
      </c>
      <c r="E61" s="48" t="s">
        <v>294</v>
      </c>
      <c r="F61" s="307">
        <v>378</v>
      </c>
      <c r="G61" s="98">
        <f>D61*F61</f>
        <v>378</v>
      </c>
      <c r="H61" s="336">
        <v>296</v>
      </c>
      <c r="I61" s="99">
        <f>H61/F61*100</f>
        <v>78.306878306878303</v>
      </c>
      <c r="J61" s="99">
        <f>IF(H61/G61*100&gt;=100,100,IF(H61/G61*100&lt;100,H61/G61*100))</f>
        <v>78.306878306878303</v>
      </c>
      <c r="K61" s="260"/>
      <c r="L61" s="247"/>
      <c r="M61" s="48" t="s">
        <v>1131</v>
      </c>
      <c r="N61" s="275" t="s">
        <v>1185</v>
      </c>
      <c r="O61" s="355" t="s">
        <v>1186</v>
      </c>
      <c r="Q61" s="139" t="s">
        <v>931</v>
      </c>
      <c r="R61" s="6" t="s">
        <v>399</v>
      </c>
    </row>
    <row r="62" spans="1:18" ht="41.25" customHeight="1" x14ac:dyDescent="0.25">
      <c r="A62" s="19" t="s">
        <v>182</v>
      </c>
      <c r="B62" s="411" t="s">
        <v>256</v>
      </c>
      <c r="C62" s="411"/>
      <c r="D62" s="345">
        <v>0.8</v>
      </c>
      <c r="E62" s="48" t="s">
        <v>294</v>
      </c>
      <c r="F62" s="307">
        <v>57</v>
      </c>
      <c r="G62" s="98">
        <f>D62*F62</f>
        <v>45.6</v>
      </c>
      <c r="H62" s="336">
        <v>33</v>
      </c>
      <c r="I62" s="99">
        <f>H62/F62*100</f>
        <v>57.894736842105267</v>
      </c>
      <c r="J62" s="363">
        <f>IF(H62/G62*100&gt;=100,100,IF(H62/G62*100&lt;100,H62/G62*100))</f>
        <v>72.368421052631575</v>
      </c>
      <c r="K62" s="260"/>
      <c r="L62" s="247"/>
      <c r="M62" s="48" t="s">
        <v>1131</v>
      </c>
      <c r="N62" s="275" t="s">
        <v>1188</v>
      </c>
      <c r="O62" s="355" t="s">
        <v>1187</v>
      </c>
      <c r="Q62" s="139" t="s">
        <v>932</v>
      </c>
      <c r="R62" s="6" t="s">
        <v>400</v>
      </c>
    </row>
    <row r="63" spans="1:18" ht="60" customHeight="1" x14ac:dyDescent="0.25">
      <c r="A63" s="19" t="s">
        <v>257</v>
      </c>
      <c r="B63" s="410" t="s">
        <v>258</v>
      </c>
      <c r="C63" s="410"/>
      <c r="D63" s="345">
        <v>0.92</v>
      </c>
      <c r="E63" s="48" t="s">
        <v>294</v>
      </c>
      <c r="F63" s="307">
        <v>409</v>
      </c>
      <c r="G63" s="98">
        <f>D63*F63</f>
        <v>376.28000000000003</v>
      </c>
      <c r="H63" s="336">
        <v>412</v>
      </c>
      <c r="I63" s="99">
        <f>H63/F63*100</f>
        <v>100.73349633251834</v>
      </c>
      <c r="J63" s="99">
        <f>IF(H63/G63*100&gt;=100,100,IF(H63/G63*100&lt;100,H63/G63*100))</f>
        <v>100</v>
      </c>
      <c r="K63" s="260"/>
      <c r="L63" s="247"/>
      <c r="M63" s="48" t="s">
        <v>1122</v>
      </c>
      <c r="N63" s="355"/>
      <c r="O63" s="355"/>
      <c r="Q63" s="139" t="s">
        <v>933</v>
      </c>
      <c r="R63" s="6" t="s">
        <v>401</v>
      </c>
    </row>
    <row r="64" spans="1:18" ht="30" customHeight="1" x14ac:dyDescent="0.25">
      <c r="A64" s="69" t="s">
        <v>402</v>
      </c>
      <c r="B64" s="69"/>
      <c r="C64" s="69"/>
      <c r="D64" s="19"/>
      <c r="E64" s="48"/>
      <c r="F64" s="307"/>
      <c r="G64" s="98"/>
      <c r="H64" s="250"/>
      <c r="I64" s="227"/>
      <c r="J64" s="99"/>
      <c r="K64" s="258">
        <f>AVERAGE(J65:J66)</f>
        <v>64.878539915442531</v>
      </c>
      <c r="L64" s="247"/>
      <c r="M64" s="224"/>
      <c r="N64" s="273"/>
      <c r="O64" s="273"/>
      <c r="Q64" s="139"/>
      <c r="R64" s="6"/>
    </row>
    <row r="65" spans="1:18" ht="64.5" customHeight="1" x14ac:dyDescent="0.25">
      <c r="A65" s="118">
        <v>1</v>
      </c>
      <c r="B65" s="410" t="s">
        <v>259</v>
      </c>
      <c r="C65" s="410"/>
      <c r="D65" s="345">
        <v>1</v>
      </c>
      <c r="E65" s="48" t="s">
        <v>283</v>
      </c>
      <c r="F65" s="307">
        <v>1952</v>
      </c>
      <c r="G65" s="98">
        <f>D65*F65</f>
        <v>1952</v>
      </c>
      <c r="H65" s="336">
        <v>1121</v>
      </c>
      <c r="I65" s="99">
        <f>H65/F65*100</f>
        <v>57.428278688524593</v>
      </c>
      <c r="J65" s="99">
        <f>IF(H65/G65*100&gt;=100,100,IF(H65/G65*100&lt;100,H65/G65*100))</f>
        <v>57.428278688524593</v>
      </c>
      <c r="K65" s="260"/>
      <c r="L65" s="247"/>
      <c r="M65" s="48" t="s">
        <v>1131</v>
      </c>
      <c r="N65" s="355" t="s">
        <v>1140</v>
      </c>
      <c r="O65" s="355" t="s">
        <v>1139</v>
      </c>
      <c r="Q65" s="139" t="s">
        <v>1092</v>
      </c>
      <c r="R65" s="361" t="s">
        <v>403</v>
      </c>
    </row>
    <row r="66" spans="1:18" ht="70.5" customHeight="1" x14ac:dyDescent="0.25">
      <c r="A66" s="19">
        <v>2</v>
      </c>
      <c r="B66" s="410" t="s">
        <v>260</v>
      </c>
      <c r="C66" s="410"/>
      <c r="D66" s="345">
        <v>0.84</v>
      </c>
      <c r="E66" s="48" t="s">
        <v>484</v>
      </c>
      <c r="F66" s="307">
        <v>767</v>
      </c>
      <c r="G66" s="98">
        <f>D66*F66</f>
        <v>644.28</v>
      </c>
      <c r="H66" s="336">
        <v>466</v>
      </c>
      <c r="I66" s="99">
        <f>H66/F66*100</f>
        <v>60.756192959582791</v>
      </c>
      <c r="J66" s="99">
        <f>IF(H66/G66*100&gt;=100,100,IF(H66/G66*100&lt;100,H66/G66*100))</f>
        <v>72.328801142360462</v>
      </c>
      <c r="K66" s="260"/>
      <c r="L66" s="247"/>
      <c r="M66" s="48" t="s">
        <v>1131</v>
      </c>
      <c r="N66" s="355" t="s">
        <v>1141</v>
      </c>
      <c r="O66" s="355" t="s">
        <v>1142</v>
      </c>
      <c r="Q66" s="139" t="s">
        <v>934</v>
      </c>
      <c r="R66" s="6" t="s">
        <v>404</v>
      </c>
    </row>
    <row r="67" spans="1:18" ht="30.75" customHeight="1" x14ac:dyDescent="0.25">
      <c r="A67" s="121" t="s">
        <v>405</v>
      </c>
      <c r="B67" s="122"/>
      <c r="C67" s="123"/>
      <c r="D67" s="19"/>
      <c r="E67" s="48"/>
      <c r="F67" s="251"/>
      <c r="G67" s="98"/>
      <c r="H67" s="250"/>
      <c r="I67" s="227"/>
      <c r="J67" s="99"/>
      <c r="K67" s="258">
        <f>AVERAGE(J68:J72)</f>
        <v>99.899300699300696</v>
      </c>
      <c r="L67" s="247"/>
      <c r="M67" s="210"/>
      <c r="N67" s="273"/>
      <c r="O67" s="273"/>
      <c r="Q67" s="139"/>
      <c r="R67" s="6"/>
    </row>
    <row r="68" spans="1:18" ht="81" customHeight="1" x14ac:dyDescent="0.25">
      <c r="A68" s="19" t="s">
        <v>232</v>
      </c>
      <c r="B68" s="410" t="s">
        <v>261</v>
      </c>
      <c r="C68" s="410"/>
      <c r="D68" s="345">
        <v>1</v>
      </c>
      <c r="E68" s="48" t="s">
        <v>485</v>
      </c>
      <c r="F68" s="250">
        <v>16</v>
      </c>
      <c r="G68" s="98">
        <f>D68*F68</f>
        <v>16</v>
      </c>
      <c r="H68" s="250">
        <v>16</v>
      </c>
      <c r="I68" s="99">
        <f>H68/F68*100</f>
        <v>100</v>
      </c>
      <c r="J68" s="99">
        <f t="shared" ref="J68:J75" si="0">IF(H68/G68*100&gt;=100,100,IF(H68/G68*100&lt;100,H68/G68*100))</f>
        <v>100</v>
      </c>
      <c r="K68" s="260"/>
      <c r="L68" s="247"/>
      <c r="M68" s="48" t="s">
        <v>1122</v>
      </c>
      <c r="N68" s="273"/>
      <c r="O68" s="273"/>
      <c r="Q68" s="139" t="s">
        <v>935</v>
      </c>
      <c r="R68" s="6" t="s">
        <v>406</v>
      </c>
    </row>
    <row r="69" spans="1:18" ht="71.25" customHeight="1" x14ac:dyDescent="0.25">
      <c r="A69" s="19" t="s">
        <v>175</v>
      </c>
      <c r="B69" s="410" t="s">
        <v>262</v>
      </c>
      <c r="C69" s="410"/>
      <c r="D69" s="345">
        <v>1</v>
      </c>
      <c r="E69" s="48" t="s">
        <v>485</v>
      </c>
      <c r="F69" s="250">
        <v>4</v>
      </c>
      <c r="G69" s="98">
        <f>D69*F69</f>
        <v>4</v>
      </c>
      <c r="H69" s="250">
        <v>4</v>
      </c>
      <c r="I69" s="99">
        <f>H69/F69*100</f>
        <v>100</v>
      </c>
      <c r="J69" s="99">
        <f t="shared" si="0"/>
        <v>100</v>
      </c>
      <c r="K69" s="260"/>
      <c r="L69" s="247"/>
      <c r="M69" s="48" t="s">
        <v>1122</v>
      </c>
      <c r="N69" s="273"/>
      <c r="O69" s="273"/>
      <c r="Q69" s="139" t="s">
        <v>936</v>
      </c>
      <c r="R69" s="6" t="s">
        <v>407</v>
      </c>
    </row>
    <row r="70" spans="1:18" ht="71.25" customHeight="1" x14ac:dyDescent="0.25">
      <c r="A70" s="19" t="s">
        <v>222</v>
      </c>
      <c r="B70" s="410" t="s">
        <v>263</v>
      </c>
      <c r="C70" s="410"/>
      <c r="D70" s="345">
        <v>1</v>
      </c>
      <c r="E70" s="48" t="s">
        <v>485</v>
      </c>
      <c r="F70" s="250">
        <v>2</v>
      </c>
      <c r="G70" s="98">
        <f>D70*F70</f>
        <v>2</v>
      </c>
      <c r="H70" s="250">
        <v>2</v>
      </c>
      <c r="I70" s="99">
        <f>H70/F70*100</f>
        <v>100</v>
      </c>
      <c r="J70" s="99">
        <f t="shared" si="0"/>
        <v>100</v>
      </c>
      <c r="K70" s="260"/>
      <c r="L70" s="247"/>
      <c r="M70" s="48" t="s">
        <v>1122</v>
      </c>
      <c r="N70" s="273"/>
      <c r="O70" s="276"/>
      <c r="Q70" s="139" t="s">
        <v>937</v>
      </c>
      <c r="R70" s="6" t="s">
        <v>408</v>
      </c>
    </row>
    <row r="71" spans="1:18" ht="78.75" customHeight="1" x14ac:dyDescent="0.25">
      <c r="A71" s="19" t="s">
        <v>257</v>
      </c>
      <c r="B71" s="410" t="s">
        <v>264</v>
      </c>
      <c r="C71" s="410"/>
      <c r="D71" s="345">
        <v>1</v>
      </c>
      <c r="E71" s="48" t="s">
        <v>481</v>
      </c>
      <c r="F71" s="250">
        <v>1170</v>
      </c>
      <c r="G71" s="98">
        <f>D71*F71</f>
        <v>1170</v>
      </c>
      <c r="H71" s="250">
        <v>1170</v>
      </c>
      <c r="I71" s="99">
        <v>0</v>
      </c>
      <c r="J71" s="99">
        <v>100</v>
      </c>
      <c r="K71" s="260"/>
      <c r="L71" s="247"/>
      <c r="M71" s="48" t="s">
        <v>1122</v>
      </c>
      <c r="N71" s="273" t="s">
        <v>1189</v>
      </c>
      <c r="O71" s="276"/>
      <c r="Q71" s="139" t="s">
        <v>938</v>
      </c>
      <c r="R71" s="6" t="s">
        <v>409</v>
      </c>
    </row>
    <row r="72" spans="1:18" ht="71.25" customHeight="1" x14ac:dyDescent="0.25">
      <c r="A72" s="19" t="s">
        <v>265</v>
      </c>
      <c r="B72" s="410" t="s">
        <v>266</v>
      </c>
      <c r="C72" s="410"/>
      <c r="D72" s="357">
        <v>1</v>
      </c>
      <c r="E72" s="48" t="s">
        <v>481</v>
      </c>
      <c r="F72" s="250">
        <v>3575</v>
      </c>
      <c r="G72" s="98">
        <f>D72*F72</f>
        <v>3575</v>
      </c>
      <c r="H72" s="250">
        <v>3557</v>
      </c>
      <c r="I72" s="99">
        <f>H72/F72*100</f>
        <v>99.496503496503493</v>
      </c>
      <c r="J72" s="99">
        <f t="shared" si="0"/>
        <v>99.496503496503493</v>
      </c>
      <c r="K72" s="260"/>
      <c r="L72" s="247"/>
      <c r="M72" s="48" t="s">
        <v>1131</v>
      </c>
      <c r="N72" s="273" t="s">
        <v>1209</v>
      </c>
      <c r="O72" s="276" t="s">
        <v>1208</v>
      </c>
      <c r="Q72" s="139" t="s">
        <v>939</v>
      </c>
      <c r="R72" s="6" t="s">
        <v>410</v>
      </c>
    </row>
    <row r="73" spans="1:18" ht="40.5" customHeight="1" x14ac:dyDescent="0.25">
      <c r="A73" s="414" t="s">
        <v>411</v>
      </c>
      <c r="B73" s="414"/>
      <c r="C73" s="414"/>
      <c r="D73" s="124"/>
      <c r="E73" s="124"/>
      <c r="F73" s="250"/>
      <c r="G73" s="125"/>
      <c r="H73" s="250"/>
      <c r="I73" s="227"/>
      <c r="J73" s="99"/>
      <c r="K73" s="209">
        <f>AVERAGE(J74:J75)</f>
        <v>91.947177628171943</v>
      </c>
      <c r="L73" s="247"/>
      <c r="M73" s="210"/>
      <c r="N73" s="273"/>
      <c r="O73" s="276"/>
      <c r="Q73" s="139"/>
      <c r="R73" s="3"/>
    </row>
    <row r="74" spans="1:18" ht="90.75" customHeight="1" x14ac:dyDescent="0.25">
      <c r="A74" s="43" t="s">
        <v>168</v>
      </c>
      <c r="B74" s="411" t="s">
        <v>412</v>
      </c>
      <c r="C74" s="411"/>
      <c r="D74" s="335">
        <v>1</v>
      </c>
      <c r="E74" s="43" t="s">
        <v>481</v>
      </c>
      <c r="F74" s="360">
        <v>3862</v>
      </c>
      <c r="G74" s="98">
        <f>D74*F74</f>
        <v>3862</v>
      </c>
      <c r="H74" s="250">
        <v>3240</v>
      </c>
      <c r="I74" s="99">
        <f>H74/F74*100</f>
        <v>83.894355256343871</v>
      </c>
      <c r="J74" s="99">
        <f t="shared" si="0"/>
        <v>83.894355256343871</v>
      </c>
      <c r="K74" s="99"/>
      <c r="L74" s="247"/>
      <c r="M74" s="48" t="s">
        <v>1122</v>
      </c>
      <c r="N74" s="273"/>
      <c r="O74" s="276"/>
      <c r="Q74" s="139" t="s">
        <v>940</v>
      </c>
      <c r="R74" s="3" t="s">
        <v>413</v>
      </c>
    </row>
    <row r="75" spans="1:18" ht="57" customHeight="1" x14ac:dyDescent="0.25">
      <c r="A75" s="43" t="s">
        <v>175</v>
      </c>
      <c r="B75" s="411" t="s">
        <v>414</v>
      </c>
      <c r="C75" s="411"/>
      <c r="D75" s="44">
        <v>1</v>
      </c>
      <c r="E75" s="43" t="s">
        <v>481</v>
      </c>
      <c r="F75" s="360">
        <v>5999</v>
      </c>
      <c r="G75" s="98">
        <f>D75*F75</f>
        <v>5999</v>
      </c>
      <c r="H75" s="250">
        <v>8215</v>
      </c>
      <c r="I75" s="99">
        <f>H75/F75*100</f>
        <v>136.93948991498584</v>
      </c>
      <c r="J75" s="99">
        <f t="shared" si="0"/>
        <v>100</v>
      </c>
      <c r="K75" s="99"/>
      <c r="L75" s="247"/>
      <c r="M75" s="48" t="s">
        <v>1122</v>
      </c>
      <c r="N75" s="273"/>
      <c r="O75" s="276"/>
      <c r="Q75" s="139" t="s">
        <v>941</v>
      </c>
      <c r="R75" s="3" t="s">
        <v>415</v>
      </c>
    </row>
    <row r="76" spans="1:18" ht="27" customHeight="1" x14ac:dyDescent="0.25">
      <c r="A76" s="430" t="s">
        <v>416</v>
      </c>
      <c r="B76" s="431"/>
      <c r="C76" s="431"/>
      <c r="D76" s="431"/>
      <c r="E76" s="432"/>
      <c r="F76" s="250"/>
      <c r="G76" s="98"/>
      <c r="H76" s="250"/>
      <c r="I76" s="227"/>
      <c r="J76" s="99"/>
      <c r="K76" s="258">
        <f>AVERAGE(J77:J83)</f>
        <v>93.136164697093974</v>
      </c>
      <c r="L76" s="247"/>
      <c r="M76" s="242"/>
      <c r="N76" s="273"/>
      <c r="O76" s="276"/>
      <c r="Q76" s="139"/>
      <c r="R76" s="6"/>
    </row>
    <row r="77" spans="1:18" ht="45" customHeight="1" x14ac:dyDescent="0.25">
      <c r="A77" s="358" t="s">
        <v>168</v>
      </c>
      <c r="B77" s="410" t="s">
        <v>267</v>
      </c>
      <c r="C77" s="410"/>
      <c r="D77" s="345">
        <v>0.7</v>
      </c>
      <c r="E77" s="48" t="s">
        <v>481</v>
      </c>
      <c r="F77" s="254">
        <v>4553</v>
      </c>
      <c r="G77" s="98">
        <f>D77*F77</f>
        <v>3187.1</v>
      </c>
      <c r="H77" s="250">
        <v>3502</v>
      </c>
      <c r="I77" s="99">
        <f t="shared" ref="I77:I83" si="1">H77/F77*100</f>
        <v>76.916318910608396</v>
      </c>
      <c r="J77" s="99">
        <f>IF(I77&lt;=70,100,IF(I77&lt;=75,90,IF(I77&lt;=80,80,IF(I77&lt;=85,70,IF(I77&lt;=90,60,IF(I77&lt;=100,50,))))))</f>
        <v>80</v>
      </c>
      <c r="K77" s="99"/>
      <c r="L77" s="359"/>
      <c r="M77" s="48" t="s">
        <v>1122</v>
      </c>
      <c r="N77" s="273"/>
      <c r="O77" s="276"/>
      <c r="Q77" s="139" t="s">
        <v>942</v>
      </c>
      <c r="R77" s="6" t="s">
        <v>417</v>
      </c>
    </row>
    <row r="78" spans="1:18" ht="36.75" customHeight="1" x14ac:dyDescent="0.25">
      <c r="A78" s="98" t="s">
        <v>175</v>
      </c>
      <c r="B78" s="410" t="s">
        <v>268</v>
      </c>
      <c r="C78" s="410"/>
      <c r="D78" s="345">
        <v>0.1</v>
      </c>
      <c r="E78" s="48" t="s">
        <v>481</v>
      </c>
      <c r="F78" s="254">
        <v>4553</v>
      </c>
      <c r="G78" s="98">
        <f t="shared" ref="G78:G83" si="2">D78*F78</f>
        <v>455.3</v>
      </c>
      <c r="H78" s="250">
        <v>328</v>
      </c>
      <c r="I78" s="99">
        <f>H78/F78*100</f>
        <v>7.2040412914561829</v>
      </c>
      <c r="J78" s="99">
        <f>IF(H78/G78*100&gt;=100,100,IF(H78/G78*100&lt;100,H78/G78*100))</f>
        <v>72.040412914561827</v>
      </c>
      <c r="K78" s="260"/>
      <c r="L78" s="247"/>
      <c r="M78" s="48" t="s">
        <v>1122</v>
      </c>
      <c r="N78" s="273"/>
      <c r="O78" s="276"/>
      <c r="Q78" s="139" t="s">
        <v>943</v>
      </c>
      <c r="R78" s="6" t="s">
        <v>418</v>
      </c>
    </row>
    <row r="79" spans="1:18" ht="33" customHeight="1" x14ac:dyDescent="0.25">
      <c r="A79" s="98" t="s">
        <v>222</v>
      </c>
      <c r="B79" s="410" t="s">
        <v>269</v>
      </c>
      <c r="C79" s="410"/>
      <c r="D79" s="48" t="s">
        <v>270</v>
      </c>
      <c r="E79" s="48" t="s">
        <v>481</v>
      </c>
      <c r="F79" s="254">
        <v>3411</v>
      </c>
      <c r="G79" s="98">
        <f>10%*F79</f>
        <v>341.1</v>
      </c>
      <c r="H79" s="250">
        <v>122</v>
      </c>
      <c r="I79" s="99">
        <f t="shared" si="1"/>
        <v>3.5766637349750807</v>
      </c>
      <c r="J79" s="99">
        <f>IF(I79&lt;10,100,IF(I79&lt;=12.5,75,IF(I79&lt;=15,50,IF(I79&lt;=17.5,25,IF(I79&gt;17.5,0)))))</f>
        <v>100</v>
      </c>
      <c r="K79" s="260"/>
      <c r="L79" s="247"/>
      <c r="M79" s="48" t="s">
        <v>1122</v>
      </c>
      <c r="N79" s="273"/>
      <c r="O79" s="276"/>
      <c r="Q79" s="139" t="s">
        <v>944</v>
      </c>
      <c r="R79" s="6" t="s">
        <v>1093</v>
      </c>
    </row>
    <row r="80" spans="1:18" ht="38.25" customHeight="1" x14ac:dyDescent="0.25">
      <c r="A80" s="98" t="s">
        <v>271</v>
      </c>
      <c r="B80" s="410" t="s">
        <v>272</v>
      </c>
      <c r="C80" s="410"/>
      <c r="D80" s="19" t="s">
        <v>273</v>
      </c>
      <c r="E80" s="48" t="s">
        <v>481</v>
      </c>
      <c r="F80" s="254">
        <v>3411</v>
      </c>
      <c r="G80" s="98">
        <f>3.5%*F80</f>
        <v>119.38500000000001</v>
      </c>
      <c r="H80" s="250">
        <v>0</v>
      </c>
      <c r="I80" s="99">
        <f t="shared" si="1"/>
        <v>0</v>
      </c>
      <c r="J80" s="99">
        <f>IF(I80&lt;3.5,100,IF(I80&lt;=4.5,75,IF(I80&lt;=7.5,50,IF(I80&lt;=10,25,IF(I80&gt;10,0)))))</f>
        <v>100</v>
      </c>
      <c r="K80" s="260"/>
      <c r="L80" s="247"/>
      <c r="M80" s="48" t="s">
        <v>1122</v>
      </c>
      <c r="N80" s="273"/>
      <c r="O80" s="276"/>
      <c r="Q80" s="139" t="s">
        <v>945</v>
      </c>
      <c r="R80" s="6" t="s">
        <v>419</v>
      </c>
    </row>
    <row r="81" spans="1:18" ht="38.25" customHeight="1" x14ac:dyDescent="0.25">
      <c r="A81" s="98">
        <v>5</v>
      </c>
      <c r="B81" s="410" t="s">
        <v>274</v>
      </c>
      <c r="C81" s="410"/>
      <c r="D81" s="345">
        <v>0.8</v>
      </c>
      <c r="E81" s="48" t="s">
        <v>481</v>
      </c>
      <c r="F81" s="254">
        <v>573</v>
      </c>
      <c r="G81" s="98">
        <f>D81*F81</f>
        <v>458.40000000000003</v>
      </c>
      <c r="H81" s="250">
        <v>458</v>
      </c>
      <c r="I81" s="99">
        <f t="shared" si="1"/>
        <v>79.930191972076798</v>
      </c>
      <c r="J81" s="99">
        <f>IF(H81/G81*100&gt;=100,100,IF(H81/G81*100&lt;100,H81/G81*100))</f>
        <v>99.91273996509598</v>
      </c>
      <c r="K81" s="260"/>
      <c r="L81" s="247"/>
      <c r="M81" s="48" t="s">
        <v>1122</v>
      </c>
      <c r="N81" s="273"/>
      <c r="O81" s="276"/>
      <c r="Q81" s="139" t="s">
        <v>1094</v>
      </c>
      <c r="R81" s="6" t="s">
        <v>421</v>
      </c>
    </row>
    <row r="82" spans="1:18" ht="32.25" customHeight="1" x14ac:dyDescent="0.25">
      <c r="A82" s="98">
        <v>6</v>
      </c>
      <c r="B82" s="416" t="s">
        <v>275</v>
      </c>
      <c r="C82" s="416"/>
      <c r="D82" s="345">
        <v>0.6</v>
      </c>
      <c r="E82" s="48" t="s">
        <v>481</v>
      </c>
      <c r="F82" s="254">
        <v>142</v>
      </c>
      <c r="G82" s="98">
        <f t="shared" si="2"/>
        <v>85.2</v>
      </c>
      <c r="H82" s="250">
        <v>100</v>
      </c>
      <c r="I82" s="99">
        <f t="shared" si="1"/>
        <v>70.422535211267601</v>
      </c>
      <c r="J82" s="99">
        <f>IF(H82/G82*100&gt;=100,100,IF(H82/G82*100&lt;100,H82/G82*100))</f>
        <v>100</v>
      </c>
      <c r="K82" s="260"/>
      <c r="L82" s="247"/>
      <c r="M82" s="48" t="s">
        <v>1122</v>
      </c>
      <c r="N82" s="273"/>
      <c r="O82" s="276"/>
      <c r="Q82" s="139" t="s">
        <v>946</v>
      </c>
      <c r="R82" s="6" t="s">
        <v>423</v>
      </c>
    </row>
    <row r="83" spans="1:18" ht="32.25" customHeight="1" x14ac:dyDescent="0.25">
      <c r="A83" s="98">
        <v>7</v>
      </c>
      <c r="B83" s="410" t="s">
        <v>276</v>
      </c>
      <c r="C83" s="410"/>
      <c r="D83" s="345">
        <v>0.65</v>
      </c>
      <c r="E83" s="48" t="s">
        <v>481</v>
      </c>
      <c r="F83" s="254">
        <v>172</v>
      </c>
      <c r="G83" s="98">
        <f t="shared" si="2"/>
        <v>111.8</v>
      </c>
      <c r="H83" s="250">
        <v>122</v>
      </c>
      <c r="I83" s="99">
        <f t="shared" si="1"/>
        <v>70.930232558139537</v>
      </c>
      <c r="J83" s="99">
        <f>IF(H83/G83*100&gt;=100,100,IF(H83/G83*100&lt;100,H83/G83*100))</f>
        <v>100</v>
      </c>
      <c r="K83" s="260"/>
      <c r="L83" s="247"/>
      <c r="M83" s="48" t="s">
        <v>1122</v>
      </c>
      <c r="N83" s="273"/>
      <c r="O83" s="276"/>
      <c r="Q83" s="139" t="s">
        <v>947</v>
      </c>
      <c r="R83" s="6" t="s">
        <v>424</v>
      </c>
    </row>
    <row r="84" spans="1:18" ht="29.25" customHeight="1" x14ac:dyDescent="0.25">
      <c r="A84" s="225" t="s">
        <v>1133</v>
      </c>
      <c r="B84" s="118"/>
      <c r="C84" s="225"/>
      <c r="D84" s="19"/>
      <c r="E84" s="48"/>
      <c r="F84" s="271"/>
      <c r="G84" s="244"/>
      <c r="H84" s="262"/>
      <c r="I84" s="227"/>
      <c r="J84" s="263"/>
      <c r="K84" s="259"/>
      <c r="L84" s="264">
        <f>AVERAGE(K85,K89,K94)</f>
        <v>91.833027188995558</v>
      </c>
      <c r="M84" s="224"/>
      <c r="N84" s="273"/>
      <c r="O84" s="276"/>
      <c r="Q84" s="139"/>
      <c r="R84" s="4"/>
    </row>
    <row r="85" spans="1:18" ht="27.75" customHeight="1" x14ac:dyDescent="0.25">
      <c r="A85" s="427" t="s">
        <v>277</v>
      </c>
      <c r="B85" s="428"/>
      <c r="C85" s="428"/>
      <c r="D85" s="428"/>
      <c r="E85" s="429"/>
      <c r="F85" s="271"/>
      <c r="G85" s="98"/>
      <c r="H85" s="226"/>
      <c r="I85" s="227"/>
      <c r="J85" s="99"/>
      <c r="K85" s="258">
        <f>AVERAGE(J86:J88)</f>
        <v>85.076092292587134</v>
      </c>
      <c r="L85" s="98" t="s">
        <v>587</v>
      </c>
      <c r="M85" s="224"/>
      <c r="N85" s="273"/>
      <c r="O85" s="276"/>
      <c r="Q85" s="139"/>
      <c r="R85" s="4"/>
    </row>
    <row r="86" spans="1:18" ht="58.15" customHeight="1" x14ac:dyDescent="0.25">
      <c r="A86" s="19" t="s">
        <v>168</v>
      </c>
      <c r="B86" s="410" t="s">
        <v>278</v>
      </c>
      <c r="C86" s="410"/>
      <c r="D86" s="345">
        <v>0.89</v>
      </c>
      <c r="E86" s="48" t="s">
        <v>283</v>
      </c>
      <c r="F86" s="250">
        <v>1258</v>
      </c>
      <c r="G86" s="98">
        <f>D86*F86</f>
        <v>1119.6200000000001</v>
      </c>
      <c r="H86" s="250">
        <v>1231</v>
      </c>
      <c r="I86" s="99">
        <f>H86/F86*100</f>
        <v>97.853736089030207</v>
      </c>
      <c r="J86" s="99">
        <f>IF(H86/G86*100&gt;=100,100,IF(H86/G86*100&lt;100,H86/G86*100))</f>
        <v>100</v>
      </c>
      <c r="K86" s="260"/>
      <c r="L86" s="98"/>
      <c r="M86" s="48" t="s">
        <v>1122</v>
      </c>
      <c r="N86" s="273"/>
      <c r="O86" s="276"/>
      <c r="Q86" s="139" t="s">
        <v>948</v>
      </c>
      <c r="R86" s="4" t="s">
        <v>425</v>
      </c>
    </row>
    <row r="87" spans="1:18" ht="51" customHeight="1" x14ac:dyDescent="0.25">
      <c r="A87" s="19">
        <v>2</v>
      </c>
      <c r="B87" s="410" t="s">
        <v>279</v>
      </c>
      <c r="C87" s="410"/>
      <c r="D87" s="345">
        <v>0.83</v>
      </c>
      <c r="E87" s="48" t="s">
        <v>483</v>
      </c>
      <c r="F87" s="250">
        <v>393</v>
      </c>
      <c r="G87" s="98">
        <f>D87*F87</f>
        <v>326.19</v>
      </c>
      <c r="H87" s="250">
        <v>393</v>
      </c>
      <c r="I87" s="99">
        <f>H87/F87*100</f>
        <v>100</v>
      </c>
      <c r="J87" s="99">
        <f>IF(H87/G87*100&gt;=100,100,IF(H87/G87*100&lt;100,H87/G87*100))</f>
        <v>100</v>
      </c>
      <c r="K87" s="260"/>
      <c r="L87" s="98"/>
      <c r="M87" s="48" t="s">
        <v>1122</v>
      </c>
      <c r="N87" s="273"/>
      <c r="O87" s="276"/>
      <c r="Q87" s="139" t="s">
        <v>949</v>
      </c>
      <c r="R87" s="4" t="s">
        <v>426</v>
      </c>
    </row>
    <row r="88" spans="1:18" ht="55.9" customHeight="1" x14ac:dyDescent="0.25">
      <c r="A88" s="19">
        <v>3</v>
      </c>
      <c r="B88" s="410" t="s">
        <v>281</v>
      </c>
      <c r="C88" s="410"/>
      <c r="D88" s="345">
        <v>0.56000000000000005</v>
      </c>
      <c r="E88" s="48" t="s">
        <v>481</v>
      </c>
      <c r="F88" s="250">
        <v>1261</v>
      </c>
      <c r="G88" s="98">
        <f>D88*F88</f>
        <v>706.16000000000008</v>
      </c>
      <c r="H88" s="250">
        <v>390</v>
      </c>
      <c r="I88" s="99">
        <f>H88/F88*100</f>
        <v>30.927835051546392</v>
      </c>
      <c r="J88" s="99">
        <f>IF(H88/G88*100&gt;=100,100,IF(H88/G88*100&lt;100,H88/G88*100))</f>
        <v>55.228276877761409</v>
      </c>
      <c r="K88" s="260"/>
      <c r="L88" s="98"/>
      <c r="M88" s="48" t="s">
        <v>1122</v>
      </c>
      <c r="N88" s="273"/>
      <c r="O88" s="276"/>
      <c r="Q88" s="139" t="s">
        <v>950</v>
      </c>
      <c r="R88" s="4" t="s">
        <v>427</v>
      </c>
    </row>
    <row r="89" spans="1:18" ht="27" customHeight="1" x14ac:dyDescent="0.25">
      <c r="A89" s="69" t="s">
        <v>1134</v>
      </c>
      <c r="B89" s="69"/>
      <c r="C89" s="69"/>
      <c r="D89" s="19"/>
      <c r="E89" s="48"/>
      <c r="F89" s="250"/>
      <c r="G89" s="98"/>
      <c r="H89" s="250"/>
      <c r="I89" s="227"/>
      <c r="J89" s="99"/>
      <c r="K89" s="258">
        <f>AVERAGE(J90:J93)</f>
        <v>100</v>
      </c>
      <c r="L89" s="247"/>
      <c r="M89" s="224"/>
      <c r="N89" s="273"/>
      <c r="O89" s="276"/>
      <c r="Q89" s="139"/>
      <c r="R89" s="4"/>
    </row>
    <row r="90" spans="1:18" ht="52.9" customHeight="1" x14ac:dyDescent="0.25">
      <c r="A90" s="19" t="s">
        <v>168</v>
      </c>
      <c r="B90" s="410" t="s">
        <v>282</v>
      </c>
      <c r="C90" s="410"/>
      <c r="D90" s="345">
        <v>0.85</v>
      </c>
      <c r="E90" s="48" t="s">
        <v>283</v>
      </c>
      <c r="F90" s="250">
        <v>137</v>
      </c>
      <c r="G90" s="98">
        <f>D90*F90</f>
        <v>116.45</v>
      </c>
      <c r="H90" s="250">
        <v>137</v>
      </c>
      <c r="I90" s="99">
        <f>H90/F90*100</f>
        <v>100</v>
      </c>
      <c r="J90" s="99">
        <f>IF(H90/G90*100&gt;=100,100,IF(H90/G90*100&lt;100,H90/G90*100))</f>
        <v>100</v>
      </c>
      <c r="K90" s="260"/>
      <c r="L90" s="247"/>
      <c r="M90" s="48" t="s">
        <v>1122</v>
      </c>
      <c r="N90" s="273"/>
      <c r="O90" s="276"/>
      <c r="Q90" s="139" t="s">
        <v>951</v>
      </c>
      <c r="R90" s="4" t="s">
        <v>428</v>
      </c>
    </row>
    <row r="91" spans="1:18" ht="54.75" customHeight="1" x14ac:dyDescent="0.25">
      <c r="A91" s="19">
        <v>2</v>
      </c>
      <c r="B91" s="410" t="s">
        <v>284</v>
      </c>
      <c r="C91" s="410"/>
      <c r="D91" s="345">
        <v>0.8</v>
      </c>
      <c r="E91" s="48" t="s">
        <v>483</v>
      </c>
      <c r="F91" s="250">
        <v>29</v>
      </c>
      <c r="G91" s="98">
        <f>D91*F91</f>
        <v>23.200000000000003</v>
      </c>
      <c r="H91" s="250">
        <v>29</v>
      </c>
      <c r="I91" s="99">
        <f>H91/F91*100</f>
        <v>100</v>
      </c>
      <c r="J91" s="99">
        <f>IF(H91/G91*100&gt;=100,100,IF(H91/G91*100&lt;100,H91/G91*100))</f>
        <v>100</v>
      </c>
      <c r="K91" s="260"/>
      <c r="L91" s="247"/>
      <c r="M91" s="48" t="s">
        <v>1122</v>
      </c>
      <c r="N91" s="273"/>
      <c r="O91" s="276"/>
      <c r="Q91" s="139" t="s">
        <v>952</v>
      </c>
      <c r="R91" s="4" t="s">
        <v>429</v>
      </c>
    </row>
    <row r="92" spans="1:18" ht="60" customHeight="1" x14ac:dyDescent="0.25">
      <c r="A92" s="19">
        <v>3</v>
      </c>
      <c r="B92" s="410" t="s">
        <v>286</v>
      </c>
      <c r="C92" s="410"/>
      <c r="D92" s="345">
        <v>0.88</v>
      </c>
      <c r="E92" s="48" t="s">
        <v>283</v>
      </c>
      <c r="F92" s="250">
        <v>31</v>
      </c>
      <c r="G92" s="98">
        <f>D92*F92</f>
        <v>27.28</v>
      </c>
      <c r="H92" s="250">
        <v>31</v>
      </c>
      <c r="I92" s="99">
        <f>H92/F92*100</f>
        <v>100</v>
      </c>
      <c r="J92" s="99">
        <f>IF(H92/G92*100&gt;=100,100,IF(H92/G92*100&lt;100,H92/G92*100))</f>
        <v>100</v>
      </c>
      <c r="K92" s="260"/>
      <c r="L92" s="247"/>
      <c r="M92" s="48" t="s">
        <v>1122</v>
      </c>
      <c r="N92" s="273"/>
      <c r="O92" s="276"/>
      <c r="Q92" s="139" t="s">
        <v>953</v>
      </c>
      <c r="R92" s="4" t="s">
        <v>430</v>
      </c>
    </row>
    <row r="93" spans="1:18" ht="84.75" customHeight="1" x14ac:dyDescent="0.25">
      <c r="A93" s="19">
        <v>4</v>
      </c>
      <c r="B93" s="410" t="s">
        <v>287</v>
      </c>
      <c r="C93" s="410"/>
      <c r="D93" s="357">
        <v>1</v>
      </c>
      <c r="E93" s="48" t="s">
        <v>288</v>
      </c>
      <c r="F93" s="250">
        <v>12</v>
      </c>
      <c r="G93" s="98">
        <f>D93*F93</f>
        <v>12</v>
      </c>
      <c r="H93" s="250">
        <v>12</v>
      </c>
      <c r="I93" s="99">
        <f>H93/F93*100</f>
        <v>100</v>
      </c>
      <c r="J93" s="99">
        <f>IF(H93/G93*100&gt;=100,100,IF(H93/G93*100&lt;100,H93/G93*100))</f>
        <v>100</v>
      </c>
      <c r="K93" s="260"/>
      <c r="L93" s="247"/>
      <c r="M93" s="48" t="s">
        <v>1122</v>
      </c>
      <c r="N93" s="273"/>
      <c r="O93" s="276"/>
      <c r="Q93" s="139" t="s">
        <v>954</v>
      </c>
      <c r="R93" s="4" t="s">
        <v>431</v>
      </c>
    </row>
    <row r="94" spans="1:18" ht="30" customHeight="1" x14ac:dyDescent="0.25">
      <c r="A94" s="69" t="s">
        <v>289</v>
      </c>
      <c r="B94" s="69"/>
      <c r="C94" s="69"/>
      <c r="D94" s="19"/>
      <c r="E94" s="48"/>
      <c r="F94" s="250"/>
      <c r="G94" s="98"/>
      <c r="H94" s="250"/>
      <c r="I94" s="227"/>
      <c r="J94" s="99"/>
      <c r="K94" s="258">
        <f>AVERAGE(J95:J99)</f>
        <v>90.422989274399498</v>
      </c>
      <c r="L94" s="247"/>
      <c r="M94" s="224"/>
      <c r="N94" s="273"/>
      <c r="O94" s="276"/>
      <c r="Q94" s="139"/>
      <c r="R94" s="4"/>
    </row>
    <row r="95" spans="1:18" ht="48.75" customHeight="1" x14ac:dyDescent="0.25">
      <c r="A95" s="19" t="s">
        <v>168</v>
      </c>
      <c r="B95" s="410" t="s">
        <v>290</v>
      </c>
      <c r="C95" s="410"/>
      <c r="D95" s="345">
        <v>0.8</v>
      </c>
      <c r="E95" s="48" t="s">
        <v>283</v>
      </c>
      <c r="F95" s="250">
        <v>1417</v>
      </c>
      <c r="G95" s="98">
        <f>D95*F95</f>
        <v>1133.6000000000001</v>
      </c>
      <c r="H95" s="250">
        <v>1062</v>
      </c>
      <c r="I95" s="99">
        <f>H95/F95*100</f>
        <v>74.94707127734651</v>
      </c>
      <c r="J95" s="99">
        <f>IF(H95/G95*100&gt;=100,100,IF(H95/G95*100&lt;100,H95/G95*100))</f>
        <v>93.683839096683116</v>
      </c>
      <c r="K95" s="260"/>
      <c r="L95" s="247"/>
      <c r="M95" s="48" t="s">
        <v>1122</v>
      </c>
      <c r="N95" s="355"/>
      <c r="O95" s="355"/>
      <c r="Q95" s="139" t="s">
        <v>955</v>
      </c>
      <c r="R95" s="4" t="s">
        <v>432</v>
      </c>
    </row>
    <row r="96" spans="1:18" ht="74.25" customHeight="1" x14ac:dyDescent="0.25">
      <c r="A96" s="19" t="s">
        <v>219</v>
      </c>
      <c r="B96" s="410" t="s">
        <v>291</v>
      </c>
      <c r="C96" s="410"/>
      <c r="D96" s="345">
        <v>0.86</v>
      </c>
      <c r="E96" s="48" t="s">
        <v>283</v>
      </c>
      <c r="F96" s="250">
        <v>997</v>
      </c>
      <c r="G96" s="98">
        <f>D96*F96</f>
        <v>857.42</v>
      </c>
      <c r="H96" s="250">
        <v>501</v>
      </c>
      <c r="I96" s="99">
        <f>H96/F96*100</f>
        <v>50.250752256770312</v>
      </c>
      <c r="J96" s="99">
        <f>IF(H96/G96*100&gt;=100,100,IF(H96/G96*100&lt;100,H96/G96*100))</f>
        <v>58.431107275314318</v>
      </c>
      <c r="K96" s="260"/>
      <c r="L96" s="247"/>
      <c r="M96" s="48" t="s">
        <v>1131</v>
      </c>
      <c r="N96" s="330" t="s">
        <v>1145</v>
      </c>
      <c r="O96" s="330" t="s">
        <v>1146</v>
      </c>
      <c r="Q96" s="139" t="s">
        <v>956</v>
      </c>
      <c r="R96" s="4" t="s">
        <v>433</v>
      </c>
    </row>
    <row r="97" spans="1:18" ht="42.75" customHeight="1" x14ac:dyDescent="0.25">
      <c r="A97" s="19">
        <v>3</v>
      </c>
      <c r="B97" s="410" t="s">
        <v>292</v>
      </c>
      <c r="C97" s="410"/>
      <c r="D97" s="356">
        <v>0.16</v>
      </c>
      <c r="E97" s="48" t="s">
        <v>283</v>
      </c>
      <c r="F97" s="250">
        <v>1147</v>
      </c>
      <c r="G97" s="98">
        <f>1.8%*F97</f>
        <v>20.646000000000001</v>
      </c>
      <c r="H97" s="250">
        <v>108</v>
      </c>
      <c r="I97" s="99">
        <f>H97/F97*100</f>
        <v>9.4158674803836089</v>
      </c>
      <c r="J97" s="99">
        <f>IF(I97&gt;37,0,IF(I97&gt;32.01,25,IF(I97&gt;27.01,50,IF(I97&gt;21,75,100))))</f>
        <v>100</v>
      </c>
      <c r="K97" s="260"/>
      <c r="L97" s="247"/>
      <c r="M97" s="48" t="s">
        <v>1122</v>
      </c>
      <c r="N97" s="273"/>
      <c r="O97" s="276"/>
      <c r="Q97" s="139" t="s">
        <v>957</v>
      </c>
      <c r="R97" s="4" t="s">
        <v>434</v>
      </c>
    </row>
    <row r="98" spans="1:18" ht="44.25" customHeight="1" x14ac:dyDescent="0.25">
      <c r="A98" s="19">
        <v>4</v>
      </c>
      <c r="B98" s="410" t="s">
        <v>293</v>
      </c>
      <c r="C98" s="410"/>
      <c r="D98" s="345">
        <v>0.5</v>
      </c>
      <c r="E98" s="48" t="s">
        <v>294</v>
      </c>
      <c r="F98" s="250">
        <v>194</v>
      </c>
      <c r="G98" s="98">
        <f>D98*F98</f>
        <v>97</v>
      </c>
      <c r="H98" s="250">
        <v>129</v>
      </c>
      <c r="I98" s="99">
        <f>H98/F98*100</f>
        <v>66.494845360824741</v>
      </c>
      <c r="J98" s="99">
        <f>IF(H98/G98*100&gt;=100,100,IF(H98/G98*100&lt;100,H98/G98*100))</f>
        <v>100</v>
      </c>
      <c r="K98" s="260"/>
      <c r="L98" s="247"/>
      <c r="M98" s="48" t="s">
        <v>1122</v>
      </c>
      <c r="N98" s="273"/>
      <c r="O98" s="276"/>
      <c r="Q98" s="139" t="s">
        <v>958</v>
      </c>
      <c r="R98" s="4" t="s">
        <v>435</v>
      </c>
    </row>
    <row r="99" spans="1:18" ht="57" customHeight="1" x14ac:dyDescent="0.25">
      <c r="A99" s="19">
        <v>5</v>
      </c>
      <c r="B99" s="410" t="s">
        <v>295</v>
      </c>
      <c r="C99" s="410"/>
      <c r="D99" s="345">
        <v>0.66</v>
      </c>
      <c r="E99" s="48" t="s">
        <v>294</v>
      </c>
      <c r="F99" s="250">
        <v>315</v>
      </c>
      <c r="G99" s="98">
        <f>19.7%*F99</f>
        <v>62.054999999999993</v>
      </c>
      <c r="H99" s="250">
        <v>271</v>
      </c>
      <c r="I99" s="99">
        <f>H99/F99*100</f>
        <v>86.031746031746039</v>
      </c>
      <c r="J99" s="99">
        <f>IF(H99/G99*100&gt;=100,100,IF(H99/G99*100&lt;100,H99/G99*100))</f>
        <v>100</v>
      </c>
      <c r="K99" s="260"/>
      <c r="L99" s="247"/>
      <c r="M99" s="48" t="s">
        <v>1122</v>
      </c>
      <c r="N99" s="273"/>
      <c r="O99" s="276"/>
      <c r="Q99" s="139" t="s">
        <v>959</v>
      </c>
      <c r="R99" s="4" t="s">
        <v>436</v>
      </c>
    </row>
    <row r="100" spans="1:18" ht="30" customHeight="1" x14ac:dyDescent="0.25">
      <c r="A100" s="424" t="s">
        <v>585</v>
      </c>
      <c r="B100" s="425"/>
      <c r="C100" s="425"/>
      <c r="D100" s="425"/>
      <c r="E100" s="426"/>
      <c r="F100" s="250"/>
      <c r="G100" s="98"/>
      <c r="H100" s="250"/>
      <c r="I100" s="227"/>
      <c r="J100" s="99"/>
      <c r="K100" s="260"/>
      <c r="L100" s="261">
        <f>AVERAGE(K101,K105,K108,K111,K117,K122,K125,K136,K146,K156,K173)</f>
        <v>88.922512253919777</v>
      </c>
      <c r="M100" s="224"/>
      <c r="N100" s="273"/>
      <c r="O100" s="276"/>
      <c r="Q100" s="139"/>
      <c r="R100" s="4"/>
    </row>
    <row r="101" spans="1:18" ht="35.25" customHeight="1" x14ac:dyDescent="0.25">
      <c r="A101" s="415" t="s">
        <v>437</v>
      </c>
      <c r="B101" s="415"/>
      <c r="C101" s="415"/>
      <c r="D101" s="2"/>
      <c r="E101" s="43"/>
      <c r="F101" s="250"/>
      <c r="G101" s="98"/>
      <c r="H101" s="250"/>
      <c r="I101" s="227"/>
      <c r="J101" s="99"/>
      <c r="K101" s="258">
        <f>AVERAGE(J102:J104)</f>
        <v>95.208970438328222</v>
      </c>
      <c r="L101" s="98"/>
      <c r="M101" s="224"/>
      <c r="N101" s="273"/>
      <c r="O101" s="276"/>
      <c r="Q101" s="139"/>
      <c r="R101" s="4"/>
    </row>
    <row r="102" spans="1:18" ht="53.25" customHeight="1" x14ac:dyDescent="0.25">
      <c r="A102" s="2" t="s">
        <v>168</v>
      </c>
      <c r="B102" s="411" t="s">
        <v>296</v>
      </c>
      <c r="C102" s="411"/>
      <c r="D102" s="335">
        <v>1</v>
      </c>
      <c r="E102" s="19" t="s">
        <v>283</v>
      </c>
      <c r="F102" s="354">
        <v>327</v>
      </c>
      <c r="G102" s="98">
        <f>D102*F102</f>
        <v>327</v>
      </c>
      <c r="H102" s="250">
        <v>280</v>
      </c>
      <c r="I102" s="99">
        <f>H102/F102*100</f>
        <v>85.62691131498471</v>
      </c>
      <c r="J102" s="99">
        <f>IF(H102/G102*100&gt;=100,100,IF(H102/G102*100&lt;100,H102/G102*100))</f>
        <v>85.62691131498471</v>
      </c>
      <c r="K102" s="260"/>
      <c r="L102" s="98"/>
      <c r="M102" s="48" t="s">
        <v>1128</v>
      </c>
      <c r="N102" s="273" t="s">
        <v>1190</v>
      </c>
      <c r="O102" s="273" t="s">
        <v>1191</v>
      </c>
      <c r="Q102" s="139" t="s">
        <v>960</v>
      </c>
      <c r="R102" s="4" t="s">
        <v>1095</v>
      </c>
    </row>
    <row r="103" spans="1:18" ht="48.75" customHeight="1" x14ac:dyDescent="0.25">
      <c r="A103" s="2" t="s">
        <v>175</v>
      </c>
      <c r="B103" s="411" t="s">
        <v>729</v>
      </c>
      <c r="C103" s="411"/>
      <c r="D103" s="335">
        <v>1</v>
      </c>
      <c r="E103" s="19" t="s">
        <v>283</v>
      </c>
      <c r="F103" s="354">
        <v>280</v>
      </c>
      <c r="G103" s="98">
        <f>D103*F103</f>
        <v>280</v>
      </c>
      <c r="H103" s="250">
        <v>280</v>
      </c>
      <c r="I103" s="99">
        <f>H103/F103*100</f>
        <v>100</v>
      </c>
      <c r="J103" s="99">
        <f>IF(H103/G103*100&gt;=100,100,IF(H103/G103*100&lt;100,H103/G103*100))</f>
        <v>100</v>
      </c>
      <c r="K103" s="260"/>
      <c r="L103" s="98"/>
      <c r="M103" s="48" t="s">
        <v>1122</v>
      </c>
      <c r="N103" s="273"/>
      <c r="O103" s="273"/>
      <c r="Q103" s="139" t="s">
        <v>961</v>
      </c>
      <c r="R103" s="4" t="s">
        <v>730</v>
      </c>
    </row>
    <row r="104" spans="1:18" ht="44.25" customHeight="1" x14ac:dyDescent="0.25">
      <c r="A104" s="2" t="s">
        <v>222</v>
      </c>
      <c r="B104" s="411" t="s">
        <v>297</v>
      </c>
      <c r="C104" s="411"/>
      <c r="D104" s="335">
        <v>1</v>
      </c>
      <c r="E104" s="19" t="s">
        <v>247</v>
      </c>
      <c r="F104" s="354">
        <v>280</v>
      </c>
      <c r="G104" s="98">
        <f>D104*F104</f>
        <v>280</v>
      </c>
      <c r="H104" s="250">
        <v>280</v>
      </c>
      <c r="I104" s="99">
        <f>H104/F104*100</f>
        <v>100</v>
      </c>
      <c r="J104" s="99">
        <f>IF(H104/G104*100&gt;=100,100,IF(H104/G104*100&lt;100,H104/G104*100))</f>
        <v>100</v>
      </c>
      <c r="K104" s="260"/>
      <c r="L104" s="98"/>
      <c r="M104" s="48" t="s">
        <v>1122</v>
      </c>
      <c r="N104" s="273"/>
      <c r="O104" s="273"/>
      <c r="Q104" s="139" t="s">
        <v>1096</v>
      </c>
      <c r="R104" s="4" t="s">
        <v>1097</v>
      </c>
    </row>
    <row r="105" spans="1:18" ht="24" customHeight="1" x14ac:dyDescent="0.25">
      <c r="A105" s="67" t="s">
        <v>731</v>
      </c>
      <c r="B105" s="67"/>
      <c r="C105" s="67"/>
      <c r="D105" s="2"/>
      <c r="E105" s="43"/>
      <c r="F105" s="250"/>
      <c r="G105" s="98"/>
      <c r="H105" s="250"/>
      <c r="I105" s="227"/>
      <c r="J105" s="99"/>
      <c r="K105" s="258">
        <f>AVERAGE(J106:J108)</f>
        <v>85.180722891566262</v>
      </c>
      <c r="L105" s="98"/>
      <c r="M105" s="224"/>
      <c r="N105" s="273"/>
      <c r="O105" s="276"/>
      <c r="Q105" s="139"/>
      <c r="R105" s="4"/>
    </row>
    <row r="106" spans="1:18" ht="37.5" customHeight="1" x14ac:dyDescent="0.25">
      <c r="A106" s="2" t="s">
        <v>168</v>
      </c>
      <c r="B106" s="411" t="s">
        <v>732</v>
      </c>
      <c r="C106" s="411"/>
      <c r="D106" s="335">
        <v>1</v>
      </c>
      <c r="E106" s="19" t="s">
        <v>734</v>
      </c>
      <c r="F106" s="250">
        <v>415</v>
      </c>
      <c r="G106" s="98">
        <f>D106*F106</f>
        <v>415</v>
      </c>
      <c r="H106" s="250">
        <v>292</v>
      </c>
      <c r="I106" s="99">
        <f>H106/F106*100</f>
        <v>70.361445783132524</v>
      </c>
      <c r="J106" s="99">
        <f>IF(H106/G106*100&gt;=100,100,IF(H106/G106*100&lt;100,H106/G106*100))</f>
        <v>70.361445783132524</v>
      </c>
      <c r="K106" s="260"/>
      <c r="L106" s="98"/>
      <c r="M106" s="48" t="s">
        <v>1131</v>
      </c>
      <c r="N106" s="330" t="s">
        <v>1143</v>
      </c>
      <c r="O106" s="353" t="s">
        <v>1144</v>
      </c>
      <c r="Q106" s="139" t="s">
        <v>962</v>
      </c>
      <c r="R106" s="4" t="s">
        <v>735</v>
      </c>
    </row>
    <row r="107" spans="1:18" ht="44.25" customHeight="1" x14ac:dyDescent="0.25">
      <c r="A107" s="2" t="s">
        <v>175</v>
      </c>
      <c r="B107" s="411" t="s">
        <v>733</v>
      </c>
      <c r="C107" s="411"/>
      <c r="D107" s="335">
        <v>1</v>
      </c>
      <c r="E107" s="19" t="s">
        <v>734</v>
      </c>
      <c r="F107" s="250">
        <v>3</v>
      </c>
      <c r="G107" s="98">
        <f>D107*F107</f>
        <v>3</v>
      </c>
      <c r="H107" s="250">
        <v>3</v>
      </c>
      <c r="I107" s="99">
        <f>H107/F107*100</f>
        <v>100</v>
      </c>
      <c r="J107" s="99">
        <v>100</v>
      </c>
      <c r="K107" s="260"/>
      <c r="L107" s="98"/>
      <c r="M107" s="48" t="s">
        <v>1122</v>
      </c>
      <c r="N107" s="273"/>
      <c r="O107" s="276"/>
      <c r="Q107" s="139" t="s">
        <v>963</v>
      </c>
      <c r="R107" s="4" t="s">
        <v>736</v>
      </c>
    </row>
    <row r="108" spans="1:18" ht="23.25" customHeight="1" x14ac:dyDescent="0.25">
      <c r="A108" s="40" t="s">
        <v>738</v>
      </c>
      <c r="B108" s="41"/>
      <c r="C108" s="42"/>
      <c r="D108" s="2"/>
      <c r="E108" s="43"/>
      <c r="F108" s="226"/>
      <c r="G108" s="98"/>
      <c r="H108" s="226"/>
      <c r="I108" s="99"/>
      <c r="J108" s="99"/>
      <c r="K108" s="258">
        <f>AVERAGE(J109:J110)</f>
        <v>51.493139628732848</v>
      </c>
      <c r="L108" s="247"/>
      <c r="M108" s="245"/>
      <c r="N108" s="273"/>
      <c r="O108" s="276"/>
      <c r="Q108" s="139"/>
      <c r="R108" s="4"/>
    </row>
    <row r="109" spans="1:18" ht="40.9" customHeight="1" x14ac:dyDescent="0.25">
      <c r="A109" s="2">
        <v>1</v>
      </c>
      <c r="B109" s="411" t="s">
        <v>737</v>
      </c>
      <c r="C109" s="411"/>
      <c r="D109" s="44">
        <v>0.75</v>
      </c>
      <c r="E109" s="43" t="s">
        <v>486</v>
      </c>
      <c r="F109" s="250">
        <v>236</v>
      </c>
      <c r="G109" s="98">
        <f>D109*F109</f>
        <v>177</v>
      </c>
      <c r="H109" s="250">
        <v>88</v>
      </c>
      <c r="I109" s="99">
        <f>H109/F109*100</f>
        <v>37.288135593220339</v>
      </c>
      <c r="J109" s="99">
        <f>IF(H109/G109*100&gt;=100,100,IF(H109/G109*100&lt;100,H109/G109*100))</f>
        <v>49.717514124293785</v>
      </c>
      <c r="K109" s="260"/>
      <c r="L109" s="247"/>
      <c r="M109" s="48" t="s">
        <v>1131</v>
      </c>
      <c r="N109" s="273" t="s">
        <v>1193</v>
      </c>
      <c r="O109" s="276" t="s">
        <v>1192</v>
      </c>
      <c r="Q109" s="139" t="s">
        <v>964</v>
      </c>
      <c r="R109" s="4" t="s">
        <v>740</v>
      </c>
    </row>
    <row r="110" spans="1:18" ht="40.9" customHeight="1" x14ac:dyDescent="0.25">
      <c r="A110" s="2">
        <v>2</v>
      </c>
      <c r="B110" s="411" t="s">
        <v>739</v>
      </c>
      <c r="C110" s="411"/>
      <c r="D110" s="44">
        <v>0.7</v>
      </c>
      <c r="E110" s="43" t="s">
        <v>486</v>
      </c>
      <c r="F110" s="250">
        <v>236</v>
      </c>
      <c r="G110" s="98">
        <f>D110*F110</f>
        <v>165.2</v>
      </c>
      <c r="H110" s="250">
        <v>88</v>
      </c>
      <c r="I110" s="99">
        <f>H110/F110*100</f>
        <v>37.288135593220339</v>
      </c>
      <c r="J110" s="99">
        <f>IF(H110/G110*100&gt;=100,100,IF(H110/G110*100&lt;100,H110/G110*100))</f>
        <v>53.268765133171911</v>
      </c>
      <c r="K110" s="260"/>
      <c r="L110" s="247"/>
      <c r="M110" s="48" t="s">
        <v>1122</v>
      </c>
      <c r="N110" s="273"/>
      <c r="O110" s="276"/>
      <c r="Q110" s="139" t="s">
        <v>965</v>
      </c>
      <c r="R110" s="4" t="s">
        <v>741</v>
      </c>
    </row>
    <row r="111" spans="1:18" ht="25.5" customHeight="1" x14ac:dyDescent="0.25">
      <c r="A111" s="415" t="s">
        <v>742</v>
      </c>
      <c r="B111" s="415"/>
      <c r="C111" s="415"/>
      <c r="D111" s="2"/>
      <c r="E111" s="43"/>
      <c r="F111" s="250"/>
      <c r="G111" s="98"/>
      <c r="H111" s="250"/>
      <c r="I111" s="227"/>
      <c r="J111" s="99"/>
      <c r="K111" s="258">
        <f>AVERAGE(J112:J116)</f>
        <v>100</v>
      </c>
      <c r="L111" s="247"/>
      <c r="M111" s="224"/>
      <c r="N111" s="273"/>
      <c r="O111" s="276"/>
      <c r="Q111" s="139"/>
      <c r="R111" s="4"/>
    </row>
    <row r="112" spans="1:18" ht="28.5" customHeight="1" x14ac:dyDescent="0.25">
      <c r="A112" s="64" t="s">
        <v>232</v>
      </c>
      <c r="B112" s="411" t="s">
        <v>298</v>
      </c>
      <c r="C112" s="411"/>
      <c r="D112" s="43" t="s">
        <v>299</v>
      </c>
      <c r="E112" s="43" t="s">
        <v>481</v>
      </c>
      <c r="F112" s="351">
        <v>4</v>
      </c>
      <c r="G112" s="98">
        <f>80%*F112</f>
        <v>3.2</v>
      </c>
      <c r="H112" s="352">
        <v>4</v>
      </c>
      <c r="I112" s="99">
        <v>0</v>
      </c>
      <c r="J112" s="99">
        <f t="shared" ref="J112:J114" si="3">IF(H112/G112*100&gt;=100,100,IF(H112/G112*100&lt;100,H112/G112*100))</f>
        <v>100</v>
      </c>
      <c r="K112" s="260"/>
      <c r="L112" s="247"/>
      <c r="M112" s="48" t="s">
        <v>1122</v>
      </c>
      <c r="N112" s="273"/>
      <c r="O112" s="276"/>
      <c r="Q112" s="139" t="s">
        <v>966</v>
      </c>
      <c r="R112" s="4" t="s">
        <v>438</v>
      </c>
    </row>
    <row r="113" spans="1:18" ht="35.25" customHeight="1" x14ac:dyDescent="0.25">
      <c r="A113" s="2" t="s">
        <v>219</v>
      </c>
      <c r="B113" s="411" t="s">
        <v>300</v>
      </c>
      <c r="C113" s="411"/>
      <c r="D113" s="43" t="s">
        <v>301</v>
      </c>
      <c r="E113" s="43" t="s">
        <v>481</v>
      </c>
      <c r="F113" s="351">
        <v>1</v>
      </c>
      <c r="G113" s="98">
        <f>90%*F113</f>
        <v>0.9</v>
      </c>
      <c r="H113" s="352">
        <v>1</v>
      </c>
      <c r="I113" s="99">
        <v>0</v>
      </c>
      <c r="J113" s="99">
        <f t="shared" si="3"/>
        <v>100</v>
      </c>
      <c r="K113" s="260"/>
      <c r="L113" s="247"/>
      <c r="M113" s="48" t="s">
        <v>1122</v>
      </c>
      <c r="N113" s="273"/>
      <c r="O113" s="353"/>
      <c r="Q113" s="139" t="s">
        <v>967</v>
      </c>
      <c r="R113" s="4" t="s">
        <v>439</v>
      </c>
    </row>
    <row r="114" spans="1:18" ht="48.75" customHeight="1" x14ac:dyDescent="0.25">
      <c r="A114" s="2">
        <v>3</v>
      </c>
      <c r="B114" s="411" t="s">
        <v>302</v>
      </c>
      <c r="C114" s="411"/>
      <c r="D114" s="43" t="s">
        <v>303</v>
      </c>
      <c r="E114" s="43" t="s">
        <v>481</v>
      </c>
      <c r="F114" s="351">
        <v>53</v>
      </c>
      <c r="G114" s="98">
        <f>95%*F114</f>
        <v>50.349999999999994</v>
      </c>
      <c r="H114" s="352">
        <v>51</v>
      </c>
      <c r="I114" s="99">
        <f>H114/F114*100</f>
        <v>96.226415094339629</v>
      </c>
      <c r="J114" s="99">
        <f t="shared" si="3"/>
        <v>100</v>
      </c>
      <c r="K114" s="260"/>
      <c r="L114" s="247"/>
      <c r="M114" s="48" t="s">
        <v>1122</v>
      </c>
      <c r="N114" s="273"/>
      <c r="O114" s="276"/>
      <c r="Q114" s="139" t="s">
        <v>968</v>
      </c>
      <c r="R114" s="4" t="s">
        <v>440</v>
      </c>
    </row>
    <row r="115" spans="1:18" ht="39" customHeight="1" x14ac:dyDescent="0.25">
      <c r="A115" s="2" t="s">
        <v>271</v>
      </c>
      <c r="B115" s="411" t="s">
        <v>304</v>
      </c>
      <c r="C115" s="411"/>
      <c r="D115" s="43" t="s">
        <v>303</v>
      </c>
      <c r="E115" s="43" t="s">
        <v>481</v>
      </c>
      <c r="F115" s="351">
        <v>18</v>
      </c>
      <c r="G115" s="98">
        <f>95%*F115</f>
        <v>17.099999999999998</v>
      </c>
      <c r="H115" s="352">
        <v>18</v>
      </c>
      <c r="I115" s="99">
        <f>H115/F115*100</f>
        <v>100</v>
      </c>
      <c r="J115" s="99">
        <f>IF(H115/G115*100&gt;=100,100,IF(H115/G115*100&lt;100,H115/G115*100))</f>
        <v>100</v>
      </c>
      <c r="K115" s="99"/>
      <c r="L115" s="247"/>
      <c r="M115" s="48" t="s">
        <v>1122</v>
      </c>
      <c r="N115" s="273"/>
      <c r="O115" s="276"/>
      <c r="Q115" s="139" t="s">
        <v>969</v>
      </c>
      <c r="R115" s="4" t="s">
        <v>441</v>
      </c>
    </row>
    <row r="116" spans="1:18" ht="33.75" customHeight="1" x14ac:dyDescent="0.25">
      <c r="A116" s="2" t="s">
        <v>305</v>
      </c>
      <c r="B116" s="411" t="s">
        <v>306</v>
      </c>
      <c r="C116" s="411"/>
      <c r="D116" s="335">
        <v>1</v>
      </c>
      <c r="E116" s="43" t="s">
        <v>307</v>
      </c>
      <c r="F116" s="351">
        <v>16</v>
      </c>
      <c r="G116" s="98">
        <f>D116*F116</f>
        <v>16</v>
      </c>
      <c r="H116" s="352">
        <v>16</v>
      </c>
      <c r="I116" s="99">
        <f>H116/F116*100</f>
        <v>100</v>
      </c>
      <c r="J116" s="99">
        <f>IF(H116/G116*100&gt;=100,100,IF(H116/G116*100&lt;100,H116/G116*100))</f>
        <v>100</v>
      </c>
      <c r="K116" s="260"/>
      <c r="L116" s="247"/>
      <c r="M116" s="48" t="s">
        <v>1122</v>
      </c>
      <c r="N116" s="273"/>
      <c r="O116" s="276"/>
      <c r="Q116" s="139" t="s">
        <v>970</v>
      </c>
      <c r="R116" s="4" t="s">
        <v>442</v>
      </c>
    </row>
    <row r="117" spans="1:18" ht="24" customHeight="1" x14ac:dyDescent="0.25">
      <c r="A117" s="415" t="s">
        <v>746</v>
      </c>
      <c r="B117" s="415"/>
      <c r="C117" s="415"/>
      <c r="D117" s="36"/>
      <c r="E117" s="43"/>
      <c r="F117" s="252"/>
      <c r="G117" s="265"/>
      <c r="H117" s="250"/>
      <c r="I117" s="227"/>
      <c r="J117" s="99"/>
      <c r="K117" s="258">
        <f>AVERAGE(J118:J121)</f>
        <v>97.418478260869563</v>
      </c>
      <c r="L117" s="247"/>
      <c r="M117" s="224"/>
      <c r="N117" s="273"/>
      <c r="O117" s="276"/>
      <c r="Q117" s="139"/>
      <c r="R117" s="4"/>
    </row>
    <row r="118" spans="1:18" ht="72.75" customHeight="1" x14ac:dyDescent="0.25">
      <c r="A118" s="2" t="s">
        <v>168</v>
      </c>
      <c r="B118" s="411" t="s">
        <v>308</v>
      </c>
      <c r="C118" s="411"/>
      <c r="D118" s="44">
        <v>0.8</v>
      </c>
      <c r="E118" s="43" t="s">
        <v>481</v>
      </c>
      <c r="F118" s="347">
        <v>46</v>
      </c>
      <c r="G118" s="98">
        <f>D118*F118</f>
        <v>36.800000000000004</v>
      </c>
      <c r="H118" s="250">
        <v>33</v>
      </c>
      <c r="I118" s="99">
        <f>H118/F118*100</f>
        <v>71.739130434782609</v>
      </c>
      <c r="J118" s="99">
        <f>IF(H118/G118*100&gt;=100,100,IF(H118/G118*100&lt;100,H118/G118*100))</f>
        <v>89.673913043478251</v>
      </c>
      <c r="K118" s="260"/>
      <c r="L118" s="247"/>
      <c r="M118" s="48" t="s">
        <v>1122</v>
      </c>
      <c r="N118" s="273"/>
      <c r="O118" s="273"/>
      <c r="Q118" s="139" t="s">
        <v>1098</v>
      </c>
      <c r="R118" s="4" t="s">
        <v>443</v>
      </c>
    </row>
    <row r="119" spans="1:18" ht="81.75" customHeight="1" x14ac:dyDescent="0.25">
      <c r="A119" s="2" t="s">
        <v>175</v>
      </c>
      <c r="B119" s="411" t="s">
        <v>309</v>
      </c>
      <c r="C119" s="411"/>
      <c r="D119" s="44">
        <v>1</v>
      </c>
      <c r="E119" s="43" t="s">
        <v>481</v>
      </c>
      <c r="F119" s="347">
        <v>249</v>
      </c>
      <c r="G119" s="98">
        <f>D119*F119</f>
        <v>249</v>
      </c>
      <c r="H119" s="250">
        <v>364</v>
      </c>
      <c r="I119" s="99">
        <f>H119/F119*100</f>
        <v>146.18473895582329</v>
      </c>
      <c r="J119" s="99">
        <f>IF(H119/G119*100&gt;=100,100,IF(H119/G119*100&lt;100,H119/G119*100))</f>
        <v>100</v>
      </c>
      <c r="K119" s="260"/>
      <c r="L119" s="247"/>
      <c r="M119" s="48" t="s">
        <v>1122</v>
      </c>
      <c r="N119" s="273"/>
      <c r="O119" s="276"/>
      <c r="Q119" s="139" t="s">
        <v>971</v>
      </c>
      <c r="R119" s="348" t="s">
        <v>444</v>
      </c>
    </row>
    <row r="120" spans="1:18" ht="60" customHeight="1" x14ac:dyDescent="0.25">
      <c r="A120" s="2" t="s">
        <v>182</v>
      </c>
      <c r="B120" s="411" t="s">
        <v>310</v>
      </c>
      <c r="C120" s="411"/>
      <c r="D120" s="44" t="s">
        <v>743</v>
      </c>
      <c r="E120" s="43" t="s">
        <v>481</v>
      </c>
      <c r="F120" s="347">
        <v>31</v>
      </c>
      <c r="G120" s="98">
        <f>90/100*F120</f>
        <v>27.900000000000002</v>
      </c>
      <c r="H120" s="250">
        <v>30</v>
      </c>
      <c r="I120" s="99">
        <f>H120/F120*100</f>
        <v>96.774193548387103</v>
      </c>
      <c r="J120" s="99">
        <f>IF(H120/G120*100&gt;=100,100,IF(H120/G120*100&lt;100,H120/G120*100))</f>
        <v>100</v>
      </c>
      <c r="K120" s="260"/>
      <c r="L120" s="247"/>
      <c r="M120" s="48" t="s">
        <v>1122</v>
      </c>
      <c r="N120" s="273"/>
      <c r="O120" s="276"/>
      <c r="Q120" s="139" t="s">
        <v>972</v>
      </c>
      <c r="R120" s="349" t="s">
        <v>445</v>
      </c>
    </row>
    <row r="121" spans="1:18" ht="44.25" customHeight="1" x14ac:dyDescent="0.25">
      <c r="A121" s="2" t="s">
        <v>257</v>
      </c>
      <c r="B121" s="411" t="s">
        <v>744</v>
      </c>
      <c r="C121" s="411"/>
      <c r="D121" s="44" t="s">
        <v>743</v>
      </c>
      <c r="E121" s="43" t="s">
        <v>481</v>
      </c>
      <c r="F121" s="347">
        <v>33</v>
      </c>
      <c r="G121" s="98">
        <f>90/100*F121</f>
        <v>29.7</v>
      </c>
      <c r="H121" s="250">
        <v>35</v>
      </c>
      <c r="I121" s="99">
        <f>H121/F121*100</f>
        <v>106.06060606060606</v>
      </c>
      <c r="J121" s="99">
        <f>IF(H121/G121*100&gt;=100,100,IF(H121/G121*100&lt;100,H121/G121*100))</f>
        <v>100</v>
      </c>
      <c r="K121" s="260"/>
      <c r="L121" s="247"/>
      <c r="M121" s="48" t="s">
        <v>1122</v>
      </c>
      <c r="N121" s="273"/>
      <c r="O121" s="276"/>
      <c r="Q121" s="139" t="s">
        <v>973</v>
      </c>
      <c r="R121" s="349" t="s">
        <v>745</v>
      </c>
    </row>
    <row r="122" spans="1:18" ht="27.75" customHeight="1" x14ac:dyDescent="0.25">
      <c r="A122" s="67" t="s">
        <v>747</v>
      </c>
      <c r="B122" s="67"/>
      <c r="C122" s="67"/>
      <c r="D122" s="2"/>
      <c r="E122" s="43"/>
      <c r="F122" s="350"/>
      <c r="G122" s="269"/>
      <c r="H122" s="250"/>
      <c r="I122" s="227"/>
      <c r="J122" s="99"/>
      <c r="K122" s="260">
        <f>AVERAGE(J123:J124)</f>
        <v>100</v>
      </c>
      <c r="L122" s="247"/>
      <c r="M122" s="224"/>
      <c r="N122" s="273"/>
      <c r="O122" s="276"/>
      <c r="Q122" s="139"/>
      <c r="R122" s="4"/>
    </row>
    <row r="123" spans="1:18" ht="79.5" customHeight="1" x14ac:dyDescent="0.25">
      <c r="A123" s="2" t="s">
        <v>232</v>
      </c>
      <c r="B123" s="411" t="s">
        <v>311</v>
      </c>
      <c r="C123" s="411"/>
      <c r="D123" s="335">
        <v>1</v>
      </c>
      <c r="E123" s="43" t="s">
        <v>485</v>
      </c>
      <c r="F123" s="250">
        <v>6</v>
      </c>
      <c r="G123" s="98">
        <f>D123*F123</f>
        <v>6</v>
      </c>
      <c r="H123" s="250">
        <v>6</v>
      </c>
      <c r="I123" s="99">
        <f>H123/F123*100</f>
        <v>100</v>
      </c>
      <c r="J123" s="99">
        <f>IF(H123/G123*100&gt;=100,100,IF(H123/G123*100&lt;100,H123/G123*100))</f>
        <v>100</v>
      </c>
      <c r="K123" s="260"/>
      <c r="L123" s="247"/>
      <c r="M123" s="48" t="s">
        <v>1122</v>
      </c>
      <c r="Q123" s="139" t="s">
        <v>974</v>
      </c>
      <c r="R123" s="4" t="s">
        <v>446</v>
      </c>
    </row>
    <row r="124" spans="1:18" ht="69" customHeight="1" x14ac:dyDescent="0.25">
      <c r="A124" s="2" t="s">
        <v>175</v>
      </c>
      <c r="B124" s="411" t="s">
        <v>447</v>
      </c>
      <c r="C124" s="411"/>
      <c r="D124" s="335">
        <v>1</v>
      </c>
      <c r="E124" s="43" t="s">
        <v>481</v>
      </c>
      <c r="F124" s="250">
        <v>454</v>
      </c>
      <c r="G124" s="98">
        <f>D124*F124</f>
        <v>454</v>
      </c>
      <c r="H124" s="250">
        <v>644</v>
      </c>
      <c r="I124" s="99">
        <f>H124/F124*100</f>
        <v>141.85022026431716</v>
      </c>
      <c r="J124" s="99">
        <f>IF(H124/G124*100&gt;=100,100,IF(H124/G124*100&lt;100,H124/G124*100))</f>
        <v>100</v>
      </c>
      <c r="K124" s="260"/>
      <c r="L124" s="247"/>
      <c r="M124" s="48" t="s">
        <v>1122</v>
      </c>
      <c r="N124" s="273"/>
      <c r="O124" s="276"/>
      <c r="Q124" s="139" t="s">
        <v>975</v>
      </c>
      <c r="R124" s="4" t="s">
        <v>448</v>
      </c>
    </row>
    <row r="125" spans="1:18" ht="26.25" customHeight="1" x14ac:dyDescent="0.25">
      <c r="A125" s="67" t="s">
        <v>748</v>
      </c>
      <c r="B125" s="67"/>
      <c r="C125" s="67"/>
      <c r="D125" s="2"/>
      <c r="E125" s="43"/>
      <c r="F125" s="252"/>
      <c r="G125" s="266"/>
      <c r="H125" s="250"/>
      <c r="I125" s="227"/>
      <c r="J125" s="99"/>
      <c r="K125" s="258">
        <f>AVERAGE(J126:J128)</f>
        <v>99.415204678362571</v>
      </c>
      <c r="L125" s="247"/>
      <c r="M125" s="224"/>
      <c r="N125" s="273"/>
      <c r="O125" s="276"/>
      <c r="Q125" s="139"/>
      <c r="R125" s="4"/>
    </row>
    <row r="126" spans="1:18" ht="31.15" customHeight="1" x14ac:dyDescent="0.25">
      <c r="A126" s="2" t="s">
        <v>232</v>
      </c>
      <c r="B126" s="411" t="s">
        <v>312</v>
      </c>
      <c r="C126" s="411"/>
      <c r="D126" s="43" t="s">
        <v>313</v>
      </c>
      <c r="E126" s="43" t="s">
        <v>487</v>
      </c>
      <c r="F126" s="250">
        <v>3600</v>
      </c>
      <c r="G126" s="98">
        <f>95%*F126</f>
        <v>3420</v>
      </c>
      <c r="H126" s="250">
        <v>3360</v>
      </c>
      <c r="I126" s="99">
        <f>H126/F126*100</f>
        <v>93.333333333333329</v>
      </c>
      <c r="J126" s="99">
        <f>IF(H126/G126*100&gt;=100,100,IF(H126/G126*100&lt;100,H126/G126*100))</f>
        <v>98.245614035087712</v>
      </c>
      <c r="K126" s="260"/>
      <c r="L126" s="247"/>
      <c r="M126" s="48" t="s">
        <v>1122</v>
      </c>
      <c r="N126" s="275"/>
      <c r="O126" s="276"/>
      <c r="Q126" s="139" t="s">
        <v>976</v>
      </c>
      <c r="R126" s="4" t="s">
        <v>449</v>
      </c>
    </row>
    <row r="127" spans="1:18" ht="45" customHeight="1" x14ac:dyDescent="0.25">
      <c r="A127" s="2" t="s">
        <v>175</v>
      </c>
      <c r="B127" s="411" t="s">
        <v>314</v>
      </c>
      <c r="C127" s="411"/>
      <c r="D127" s="335">
        <v>1</v>
      </c>
      <c r="E127" s="43" t="s">
        <v>481</v>
      </c>
      <c r="F127" s="250">
        <v>2</v>
      </c>
      <c r="G127" s="98">
        <f>D127*F127</f>
        <v>2</v>
      </c>
      <c r="H127" s="250">
        <v>2</v>
      </c>
      <c r="I127" s="99">
        <f t="shared" ref="I127:I128" si="4">H127/F127*100</f>
        <v>100</v>
      </c>
      <c r="J127" s="99">
        <f t="shared" ref="J127:J128" si="5">IF(H127/G127*100&gt;=100,100,IF(H127/G127*100&lt;100,H127/G127*100))</f>
        <v>100</v>
      </c>
      <c r="K127" s="260"/>
      <c r="L127" s="247"/>
      <c r="M127" s="48" t="s">
        <v>1122</v>
      </c>
      <c r="N127" s="273"/>
      <c r="O127" s="276"/>
      <c r="Q127" s="139" t="s">
        <v>977</v>
      </c>
      <c r="R127" s="4" t="s">
        <v>1099</v>
      </c>
    </row>
    <row r="128" spans="1:18" ht="45" customHeight="1" x14ac:dyDescent="0.25">
      <c r="A128" s="2" t="s">
        <v>182</v>
      </c>
      <c r="B128" s="411" t="s">
        <v>315</v>
      </c>
      <c r="C128" s="411"/>
      <c r="D128" s="335">
        <v>1</v>
      </c>
      <c r="E128" s="43" t="s">
        <v>481</v>
      </c>
      <c r="F128" s="250">
        <v>2</v>
      </c>
      <c r="G128" s="98">
        <f>D128*F128</f>
        <v>2</v>
      </c>
      <c r="H128" s="250">
        <v>2</v>
      </c>
      <c r="I128" s="99">
        <f t="shared" si="4"/>
        <v>100</v>
      </c>
      <c r="J128" s="99">
        <f t="shared" si="5"/>
        <v>100</v>
      </c>
      <c r="K128" s="260"/>
      <c r="L128" s="247"/>
      <c r="M128" s="48" t="s">
        <v>1122</v>
      </c>
      <c r="N128" s="273"/>
      <c r="O128" s="276"/>
      <c r="Q128" s="139" t="s">
        <v>978</v>
      </c>
      <c r="R128" s="4" t="s">
        <v>450</v>
      </c>
    </row>
    <row r="129" spans="1:18" ht="22.5" customHeight="1" x14ac:dyDescent="0.25">
      <c r="A129" s="67" t="s">
        <v>749</v>
      </c>
      <c r="B129" s="67"/>
      <c r="C129" s="67"/>
      <c r="D129" s="2"/>
      <c r="E129" s="43"/>
      <c r="F129" s="267"/>
      <c r="G129" s="243"/>
      <c r="H129" s="98"/>
      <c r="I129" s="227"/>
      <c r="J129" s="99"/>
      <c r="K129" s="258">
        <f>AVERAGE(J130:J132)</f>
        <v>100</v>
      </c>
      <c r="L129" s="247"/>
      <c r="M129" s="224"/>
      <c r="N129" s="273"/>
      <c r="O129" s="276"/>
      <c r="Q129" s="139"/>
      <c r="R129" s="4"/>
    </row>
    <row r="130" spans="1:18" ht="40.15" customHeight="1" x14ac:dyDescent="0.25">
      <c r="A130" s="2" t="s">
        <v>168</v>
      </c>
      <c r="B130" s="411" t="s">
        <v>316</v>
      </c>
      <c r="C130" s="411"/>
      <c r="D130" s="335">
        <v>1</v>
      </c>
      <c r="E130" s="43" t="s">
        <v>481</v>
      </c>
      <c r="F130" s="250">
        <v>0</v>
      </c>
      <c r="G130" s="98">
        <f>D130*F130</f>
        <v>0</v>
      </c>
      <c r="H130" s="250">
        <v>0</v>
      </c>
      <c r="I130" s="99">
        <v>0</v>
      </c>
      <c r="J130" s="99">
        <v>100</v>
      </c>
      <c r="K130" s="260"/>
      <c r="L130" s="247"/>
      <c r="M130" s="48" t="s">
        <v>1122</v>
      </c>
      <c r="N130" s="273" t="s">
        <v>1136</v>
      </c>
      <c r="O130" s="276"/>
      <c r="Q130" s="139" t="s">
        <v>979</v>
      </c>
      <c r="R130" s="4" t="s">
        <v>451</v>
      </c>
    </row>
    <row r="131" spans="1:18" ht="60" customHeight="1" x14ac:dyDescent="0.25">
      <c r="A131" s="2" t="s">
        <v>219</v>
      </c>
      <c r="B131" s="411" t="s">
        <v>317</v>
      </c>
      <c r="C131" s="411"/>
      <c r="D131" s="335">
        <v>1</v>
      </c>
      <c r="E131" s="43" t="s">
        <v>481</v>
      </c>
      <c r="F131" s="250">
        <v>0</v>
      </c>
      <c r="G131" s="98">
        <f>D131*F131</f>
        <v>0</v>
      </c>
      <c r="H131" s="250">
        <v>0</v>
      </c>
      <c r="I131" s="99">
        <v>0</v>
      </c>
      <c r="J131" s="99">
        <v>100</v>
      </c>
      <c r="K131" s="260"/>
      <c r="L131" s="247"/>
      <c r="M131" s="48" t="s">
        <v>1122</v>
      </c>
      <c r="N131" s="273" t="s">
        <v>1136</v>
      </c>
      <c r="O131" s="276"/>
      <c r="Q131" s="139" t="s">
        <v>980</v>
      </c>
      <c r="R131" s="4" t="s">
        <v>452</v>
      </c>
    </row>
    <row r="132" spans="1:18" ht="39" customHeight="1" x14ac:dyDescent="0.25">
      <c r="A132" s="2" t="s">
        <v>182</v>
      </c>
      <c r="B132" s="411" t="s">
        <v>318</v>
      </c>
      <c r="C132" s="411"/>
      <c r="D132" s="335">
        <v>1</v>
      </c>
      <c r="E132" s="43" t="s">
        <v>481</v>
      </c>
      <c r="F132" s="250">
        <v>0</v>
      </c>
      <c r="G132" s="98">
        <f>D132*F132</f>
        <v>0</v>
      </c>
      <c r="H132" s="250">
        <v>0</v>
      </c>
      <c r="I132" s="99">
        <v>0</v>
      </c>
      <c r="J132" s="99">
        <v>100</v>
      </c>
      <c r="K132" s="260"/>
      <c r="L132" s="247"/>
      <c r="M132" s="48" t="s">
        <v>1122</v>
      </c>
      <c r="N132" s="273" t="s">
        <v>1136</v>
      </c>
      <c r="O132" s="276"/>
      <c r="Q132" s="139" t="s">
        <v>981</v>
      </c>
      <c r="R132" s="4" t="s">
        <v>453</v>
      </c>
    </row>
    <row r="133" spans="1:18" ht="21" customHeight="1" x14ac:dyDescent="0.25">
      <c r="A133" s="40" t="s">
        <v>750</v>
      </c>
      <c r="B133" s="41"/>
      <c r="C133" s="42"/>
      <c r="D133" s="2"/>
      <c r="E133" s="43"/>
      <c r="F133" s="346"/>
      <c r="G133" s="243"/>
      <c r="H133" s="250"/>
      <c r="I133" s="227"/>
      <c r="J133" s="99"/>
      <c r="K133" s="260">
        <f>AVERAGE(J134:J136)</f>
        <v>100</v>
      </c>
      <c r="L133" s="247"/>
      <c r="M133" s="48"/>
      <c r="N133" s="273"/>
      <c r="O133" s="276"/>
      <c r="Q133" s="139"/>
      <c r="R133" s="96"/>
    </row>
    <row r="134" spans="1:18" ht="45" customHeight="1" x14ac:dyDescent="0.25">
      <c r="A134" s="2" t="s">
        <v>168</v>
      </c>
      <c r="B134" s="411" t="s">
        <v>319</v>
      </c>
      <c r="C134" s="411"/>
      <c r="D134" s="335">
        <v>1</v>
      </c>
      <c r="E134" s="43" t="s">
        <v>481</v>
      </c>
      <c r="F134" s="250">
        <v>0</v>
      </c>
      <c r="G134" s="98">
        <f>D134*F134</f>
        <v>0</v>
      </c>
      <c r="H134" s="250">
        <v>0</v>
      </c>
      <c r="I134" s="99">
        <v>0</v>
      </c>
      <c r="J134" s="99">
        <v>100</v>
      </c>
      <c r="K134" s="247"/>
      <c r="L134" s="247"/>
      <c r="M134" s="48" t="s">
        <v>1122</v>
      </c>
      <c r="N134" s="273" t="s">
        <v>1137</v>
      </c>
      <c r="O134" s="276" t="s">
        <v>1138</v>
      </c>
      <c r="Q134" s="139" t="s">
        <v>982</v>
      </c>
      <c r="R134" s="4" t="s">
        <v>454</v>
      </c>
    </row>
    <row r="135" spans="1:18" ht="44.25" customHeight="1" x14ac:dyDescent="0.25">
      <c r="A135" s="2" t="s">
        <v>219</v>
      </c>
      <c r="B135" s="411" t="s">
        <v>320</v>
      </c>
      <c r="C135" s="411"/>
      <c r="D135" s="335">
        <v>1</v>
      </c>
      <c r="E135" s="43" t="s">
        <v>481</v>
      </c>
      <c r="F135" s="250">
        <v>0</v>
      </c>
      <c r="G135" s="98">
        <f>D135*F135</f>
        <v>0</v>
      </c>
      <c r="H135" s="250">
        <v>0</v>
      </c>
      <c r="I135" s="99">
        <v>0</v>
      </c>
      <c r="J135" s="99">
        <v>100</v>
      </c>
      <c r="K135" s="247"/>
      <c r="L135" s="247"/>
      <c r="M135" s="48" t="s">
        <v>1122</v>
      </c>
      <c r="N135" s="273" t="s">
        <v>1137</v>
      </c>
      <c r="O135" s="276" t="s">
        <v>1138</v>
      </c>
      <c r="Q135" s="139" t="s">
        <v>983</v>
      </c>
      <c r="R135" s="4" t="s">
        <v>455</v>
      </c>
    </row>
    <row r="136" spans="1:18" ht="29.25" customHeight="1" x14ac:dyDescent="0.25">
      <c r="A136" s="415" t="s">
        <v>751</v>
      </c>
      <c r="B136" s="415"/>
      <c r="C136" s="415"/>
      <c r="D136" s="36"/>
      <c r="E136" s="43"/>
      <c r="F136" s="250"/>
      <c r="G136" s="98"/>
      <c r="H136" s="250"/>
      <c r="I136" s="227"/>
      <c r="J136" s="99"/>
      <c r="K136" s="258">
        <f>AVERAGE(J137:J145)</f>
        <v>97.645470992503206</v>
      </c>
      <c r="L136" s="247"/>
      <c r="M136" s="224"/>
      <c r="N136" s="273"/>
      <c r="O136" s="276"/>
      <c r="Q136" s="139"/>
      <c r="R136" s="4"/>
    </row>
    <row r="137" spans="1:18" ht="75.75" customHeight="1" x14ac:dyDescent="0.25">
      <c r="A137" s="64" t="s">
        <v>168</v>
      </c>
      <c r="B137" s="411" t="s">
        <v>897</v>
      </c>
      <c r="C137" s="411"/>
      <c r="D137" s="335">
        <v>1</v>
      </c>
      <c r="E137" s="19" t="s">
        <v>247</v>
      </c>
      <c r="F137" s="250">
        <v>376</v>
      </c>
      <c r="G137" s="98">
        <f t="shared" ref="G137:G145" si="6">D137*F137</f>
        <v>376</v>
      </c>
      <c r="H137" s="250">
        <v>373</v>
      </c>
      <c r="I137" s="99">
        <f>H137/F137*100</f>
        <v>99.202127659574472</v>
      </c>
      <c r="J137" s="99">
        <f t="shared" ref="J137:J145" si="7">IF(H137/G137*100&gt;=100,100,IF(H137/G137*100&lt;100,H137/G137*100))</f>
        <v>99.202127659574472</v>
      </c>
      <c r="K137" s="260"/>
      <c r="L137" s="247"/>
      <c r="M137" s="48" t="s">
        <v>1122</v>
      </c>
      <c r="N137" s="273"/>
      <c r="O137" s="273"/>
      <c r="Q137" s="139" t="s">
        <v>991</v>
      </c>
      <c r="R137" s="4" t="s">
        <v>752</v>
      </c>
    </row>
    <row r="138" spans="1:18" ht="75" customHeight="1" x14ac:dyDescent="0.25">
      <c r="A138" s="2" t="s">
        <v>175</v>
      </c>
      <c r="B138" s="445" t="s">
        <v>321</v>
      </c>
      <c r="C138" s="445"/>
      <c r="D138" s="44">
        <v>1</v>
      </c>
      <c r="E138" s="48" t="s">
        <v>896</v>
      </c>
      <c r="F138" s="250">
        <v>9</v>
      </c>
      <c r="G138" s="98">
        <f t="shared" si="6"/>
        <v>9</v>
      </c>
      <c r="H138" s="250">
        <v>9</v>
      </c>
      <c r="I138" s="99">
        <f>H138/F138*100</f>
        <v>100</v>
      </c>
      <c r="J138" s="99">
        <f t="shared" si="7"/>
        <v>100</v>
      </c>
      <c r="K138" s="260"/>
      <c r="L138" s="247"/>
      <c r="M138" s="48" t="s">
        <v>1122</v>
      </c>
      <c r="N138" s="273"/>
      <c r="O138" s="273"/>
      <c r="Q138" s="139" t="s">
        <v>984</v>
      </c>
      <c r="R138" s="4" t="s">
        <v>456</v>
      </c>
    </row>
    <row r="139" spans="1:18" ht="71.25" customHeight="1" x14ac:dyDescent="0.25">
      <c r="A139" s="2" t="s">
        <v>182</v>
      </c>
      <c r="B139" s="411" t="s">
        <v>898</v>
      </c>
      <c r="C139" s="411"/>
      <c r="D139" s="44">
        <v>1</v>
      </c>
      <c r="E139" s="19" t="s">
        <v>247</v>
      </c>
      <c r="F139" s="250">
        <v>376</v>
      </c>
      <c r="G139" s="98">
        <f t="shared" si="6"/>
        <v>376</v>
      </c>
      <c r="H139" s="250">
        <v>303</v>
      </c>
      <c r="I139" s="99">
        <f t="shared" ref="I139:I145" si="8">H139/F139*100</f>
        <v>80.585106382978722</v>
      </c>
      <c r="J139" s="99">
        <f t="shared" si="7"/>
        <v>80.585106382978722</v>
      </c>
      <c r="K139" s="260"/>
      <c r="L139" s="247"/>
      <c r="M139" s="48" t="s">
        <v>1131</v>
      </c>
      <c r="N139" s="273" t="s">
        <v>1147</v>
      </c>
      <c r="O139" s="273" t="s">
        <v>1148</v>
      </c>
      <c r="Q139" s="139" t="s">
        <v>992</v>
      </c>
      <c r="R139" s="4" t="s">
        <v>1100</v>
      </c>
    </row>
    <row r="140" spans="1:18" ht="63.75" customHeight="1" x14ac:dyDescent="0.25">
      <c r="A140" s="2" t="s">
        <v>257</v>
      </c>
      <c r="B140" s="411" t="s">
        <v>753</v>
      </c>
      <c r="C140" s="411"/>
      <c r="D140" s="44">
        <v>1</v>
      </c>
      <c r="E140" s="19" t="s">
        <v>247</v>
      </c>
      <c r="F140" s="250">
        <v>409</v>
      </c>
      <c r="G140" s="98">
        <f t="shared" si="6"/>
        <v>409</v>
      </c>
      <c r="H140" s="250">
        <v>405</v>
      </c>
      <c r="I140" s="99">
        <f t="shared" si="8"/>
        <v>99.022004889975548</v>
      </c>
      <c r="J140" s="99">
        <f t="shared" si="7"/>
        <v>99.022004889975548</v>
      </c>
      <c r="K140" s="260"/>
      <c r="L140" s="247"/>
      <c r="M140" s="48" t="s">
        <v>1131</v>
      </c>
      <c r="N140" s="273" t="s">
        <v>1147</v>
      </c>
      <c r="O140" s="273" t="s">
        <v>1148</v>
      </c>
      <c r="Q140" s="139" t="s">
        <v>985</v>
      </c>
      <c r="R140" s="4" t="s">
        <v>1101</v>
      </c>
    </row>
    <row r="141" spans="1:18" ht="66" customHeight="1" x14ac:dyDescent="0.25">
      <c r="A141" s="2" t="s">
        <v>457</v>
      </c>
      <c r="B141" s="411" t="s">
        <v>754</v>
      </c>
      <c r="C141" s="411"/>
      <c r="D141" s="44">
        <v>0.8</v>
      </c>
      <c r="E141" s="19" t="s">
        <v>247</v>
      </c>
      <c r="F141" s="250">
        <v>1815</v>
      </c>
      <c r="G141" s="98">
        <f t="shared" si="6"/>
        <v>1452</v>
      </c>
      <c r="H141" s="250">
        <v>1802</v>
      </c>
      <c r="I141" s="99">
        <f t="shared" si="8"/>
        <v>99.28374655647383</v>
      </c>
      <c r="J141" s="99">
        <f t="shared" si="7"/>
        <v>100</v>
      </c>
      <c r="K141" s="260"/>
      <c r="L141" s="247"/>
      <c r="M141" s="48" t="s">
        <v>1122</v>
      </c>
      <c r="N141" s="273"/>
      <c r="O141" s="273"/>
      <c r="Q141" s="139" t="s">
        <v>986</v>
      </c>
      <c r="R141" s="4" t="s">
        <v>1102</v>
      </c>
    </row>
    <row r="142" spans="1:18" ht="60" customHeight="1" x14ac:dyDescent="0.25">
      <c r="A142" s="2" t="s">
        <v>420</v>
      </c>
      <c r="B142" s="411" t="s">
        <v>755</v>
      </c>
      <c r="C142" s="411"/>
      <c r="D142" s="44">
        <v>0.8</v>
      </c>
      <c r="E142" s="19" t="s">
        <v>247</v>
      </c>
      <c r="F142" s="250">
        <v>4730</v>
      </c>
      <c r="G142" s="98">
        <f t="shared" si="6"/>
        <v>3784</v>
      </c>
      <c r="H142" s="250">
        <v>4500</v>
      </c>
      <c r="I142" s="99">
        <f t="shared" si="8"/>
        <v>95.137420718816074</v>
      </c>
      <c r="J142" s="99">
        <f t="shared" si="7"/>
        <v>100</v>
      </c>
      <c r="K142" s="260"/>
      <c r="L142" s="247"/>
      <c r="M142" s="48" t="s">
        <v>1122</v>
      </c>
      <c r="N142" s="273"/>
      <c r="O142" s="276"/>
      <c r="Q142" s="139" t="s">
        <v>987</v>
      </c>
      <c r="R142" s="4" t="s">
        <v>1103</v>
      </c>
    </row>
    <row r="143" spans="1:18" ht="54.75" customHeight="1" x14ac:dyDescent="0.25">
      <c r="A143" s="2" t="s">
        <v>422</v>
      </c>
      <c r="B143" s="411" t="s">
        <v>324</v>
      </c>
      <c r="C143" s="411"/>
      <c r="D143" s="44">
        <v>1</v>
      </c>
      <c r="E143" s="19" t="s">
        <v>705</v>
      </c>
      <c r="F143" s="250">
        <v>12</v>
      </c>
      <c r="G143" s="98">
        <f t="shared" si="6"/>
        <v>12</v>
      </c>
      <c r="H143" s="250">
        <v>12</v>
      </c>
      <c r="I143" s="99">
        <f t="shared" si="8"/>
        <v>100</v>
      </c>
      <c r="J143" s="99">
        <f t="shared" si="7"/>
        <v>100</v>
      </c>
      <c r="K143" s="260"/>
      <c r="L143" s="247"/>
      <c r="M143" s="48" t="s">
        <v>1122</v>
      </c>
      <c r="N143" s="273"/>
      <c r="O143" s="276"/>
      <c r="Q143" s="139" t="s">
        <v>988</v>
      </c>
      <c r="R143" s="4" t="s">
        <v>459</v>
      </c>
    </row>
    <row r="144" spans="1:18" ht="64.5" customHeight="1" x14ac:dyDescent="0.25">
      <c r="A144" s="2" t="s">
        <v>458</v>
      </c>
      <c r="B144" s="411" t="s">
        <v>325</v>
      </c>
      <c r="C144" s="411"/>
      <c r="D144" s="44">
        <v>1</v>
      </c>
      <c r="E144" s="19" t="s">
        <v>705</v>
      </c>
      <c r="F144" s="250">
        <v>12</v>
      </c>
      <c r="G144" s="98">
        <f t="shared" si="6"/>
        <v>12</v>
      </c>
      <c r="H144" s="250">
        <v>12</v>
      </c>
      <c r="I144" s="99">
        <f t="shared" si="8"/>
        <v>100</v>
      </c>
      <c r="J144" s="99">
        <f t="shared" si="7"/>
        <v>100</v>
      </c>
      <c r="K144" s="260"/>
      <c r="L144" s="247"/>
      <c r="M144" s="48" t="s">
        <v>1122</v>
      </c>
      <c r="N144" s="273"/>
      <c r="O144" s="276"/>
      <c r="Q144" s="139" t="s">
        <v>989</v>
      </c>
      <c r="R144" s="4" t="s">
        <v>460</v>
      </c>
    </row>
    <row r="145" spans="1:18" ht="50.25" customHeight="1" x14ac:dyDescent="0.25">
      <c r="A145" s="2" t="s">
        <v>756</v>
      </c>
      <c r="B145" s="411" t="s">
        <v>326</v>
      </c>
      <c r="C145" s="411"/>
      <c r="D145" s="44">
        <v>0.9</v>
      </c>
      <c r="E145" s="19" t="s">
        <v>327</v>
      </c>
      <c r="F145" s="250">
        <v>12</v>
      </c>
      <c r="G145" s="98">
        <f t="shared" si="6"/>
        <v>10.8</v>
      </c>
      <c r="H145" s="250">
        <v>12</v>
      </c>
      <c r="I145" s="99">
        <f t="shared" si="8"/>
        <v>100</v>
      </c>
      <c r="J145" s="99">
        <f t="shared" si="7"/>
        <v>100</v>
      </c>
      <c r="K145" s="260"/>
      <c r="L145" s="247"/>
      <c r="M145" s="48" t="s">
        <v>1122</v>
      </c>
      <c r="N145" s="273"/>
      <c r="O145" s="276"/>
      <c r="Q145" s="139" t="s">
        <v>990</v>
      </c>
      <c r="R145" s="4" t="s">
        <v>461</v>
      </c>
    </row>
    <row r="146" spans="1:18" ht="33" customHeight="1" x14ac:dyDescent="0.25">
      <c r="A146" s="67" t="s">
        <v>757</v>
      </c>
      <c r="B146" s="67"/>
      <c r="C146" s="67"/>
      <c r="D146" s="36"/>
      <c r="E146" s="43"/>
      <c r="F146" s="268"/>
      <c r="G146" s="269"/>
      <c r="H146" s="226"/>
      <c r="I146" s="227"/>
      <c r="J146" s="99"/>
      <c r="K146" s="258">
        <f>AVERAGE(J147:J155)</f>
        <v>88.888888888888886</v>
      </c>
      <c r="L146" s="247"/>
      <c r="M146" s="224"/>
      <c r="N146" s="273"/>
      <c r="O146" s="276"/>
      <c r="Q146" s="139"/>
      <c r="R146" s="4"/>
    </row>
    <row r="147" spans="1:18" ht="39.75" customHeight="1" x14ac:dyDescent="0.25">
      <c r="A147" s="64" t="s">
        <v>232</v>
      </c>
      <c r="B147" s="411" t="s">
        <v>328</v>
      </c>
      <c r="C147" s="411"/>
      <c r="D147" s="344" t="s">
        <v>329</v>
      </c>
      <c r="E147" s="19" t="s">
        <v>327</v>
      </c>
      <c r="F147" s="250">
        <v>12</v>
      </c>
      <c r="G147" s="98">
        <f>80%*F147</f>
        <v>9.6000000000000014</v>
      </c>
      <c r="H147" s="250">
        <v>12</v>
      </c>
      <c r="I147" s="99">
        <f t="shared" ref="I147:I153" si="9">H147/F147*100</f>
        <v>100</v>
      </c>
      <c r="J147" s="99">
        <f t="shared" ref="J147:J153" si="10">IF(H147/G147*100&gt;=100,100,IF(H147/G147*100&lt;100,H147/G147*100))</f>
        <v>100</v>
      </c>
      <c r="K147" s="260"/>
      <c r="L147" s="247"/>
      <c r="M147" s="48" t="s">
        <v>1122</v>
      </c>
      <c r="N147" s="273"/>
      <c r="O147" s="276"/>
      <c r="Q147" s="139" t="s">
        <v>993</v>
      </c>
      <c r="R147" s="4" t="s">
        <v>462</v>
      </c>
    </row>
    <row r="148" spans="1:18" ht="36" customHeight="1" x14ac:dyDescent="0.25">
      <c r="A148" s="2" t="s">
        <v>219</v>
      </c>
      <c r="B148" s="411" t="s">
        <v>330</v>
      </c>
      <c r="C148" s="411"/>
      <c r="D148" s="344" t="s">
        <v>331</v>
      </c>
      <c r="E148" s="19" t="s">
        <v>327</v>
      </c>
      <c r="F148" s="250">
        <v>12</v>
      </c>
      <c r="G148" s="98">
        <f>90%*F148</f>
        <v>10.8</v>
      </c>
      <c r="H148" s="250">
        <v>12</v>
      </c>
      <c r="I148" s="99">
        <f t="shared" si="9"/>
        <v>100</v>
      </c>
      <c r="J148" s="99">
        <f t="shared" si="10"/>
        <v>100</v>
      </c>
      <c r="K148" s="260"/>
      <c r="L148" s="247"/>
      <c r="M148" s="48" t="s">
        <v>1122</v>
      </c>
      <c r="N148" s="273"/>
      <c r="O148" s="276"/>
      <c r="Q148" s="139" t="s">
        <v>994</v>
      </c>
      <c r="R148" s="4" t="s">
        <v>463</v>
      </c>
    </row>
    <row r="149" spans="1:18" ht="30.75" customHeight="1" x14ac:dyDescent="0.25">
      <c r="A149" s="2" t="s">
        <v>182</v>
      </c>
      <c r="B149" s="411" t="s">
        <v>758</v>
      </c>
      <c r="C149" s="411"/>
      <c r="D149" s="344" t="s">
        <v>329</v>
      </c>
      <c r="E149" s="19" t="s">
        <v>327</v>
      </c>
      <c r="F149" s="250">
        <v>12</v>
      </c>
      <c r="G149" s="98">
        <f>80%*F149</f>
        <v>9.6000000000000014</v>
      </c>
      <c r="H149" s="250">
        <v>12</v>
      </c>
      <c r="I149" s="99">
        <f t="shared" si="9"/>
        <v>100</v>
      </c>
      <c r="J149" s="99">
        <f t="shared" si="10"/>
        <v>100</v>
      </c>
      <c r="K149" s="260"/>
      <c r="L149" s="247"/>
      <c r="M149" s="48" t="s">
        <v>1122</v>
      </c>
      <c r="N149" s="273"/>
      <c r="O149" s="276"/>
      <c r="Q149" s="139" t="s">
        <v>995</v>
      </c>
      <c r="R149" s="4" t="s">
        <v>765</v>
      </c>
    </row>
    <row r="150" spans="1:18" ht="39" customHeight="1" x14ac:dyDescent="0.25">
      <c r="A150" s="2" t="s">
        <v>257</v>
      </c>
      <c r="B150" s="411" t="s">
        <v>759</v>
      </c>
      <c r="C150" s="411"/>
      <c r="D150" s="344" t="s">
        <v>331</v>
      </c>
      <c r="E150" s="19" t="s">
        <v>327</v>
      </c>
      <c r="F150" s="250">
        <v>12</v>
      </c>
      <c r="G150" s="98">
        <f>90%*F150</f>
        <v>10.8</v>
      </c>
      <c r="H150" s="250">
        <v>12</v>
      </c>
      <c r="I150" s="99">
        <f t="shared" si="9"/>
        <v>100</v>
      </c>
      <c r="J150" s="99">
        <f t="shared" si="10"/>
        <v>100</v>
      </c>
      <c r="K150" s="260"/>
      <c r="L150" s="247"/>
      <c r="M150" s="48" t="s">
        <v>1122</v>
      </c>
      <c r="N150" s="273"/>
      <c r="O150" s="276"/>
      <c r="Q150" s="139" t="s">
        <v>996</v>
      </c>
      <c r="R150" s="4" t="s">
        <v>766</v>
      </c>
    </row>
    <row r="151" spans="1:18" ht="45" customHeight="1" x14ac:dyDescent="0.25">
      <c r="A151" s="2" t="s">
        <v>265</v>
      </c>
      <c r="B151" s="411" t="s">
        <v>760</v>
      </c>
      <c r="C151" s="411"/>
      <c r="D151" s="344" t="s">
        <v>329</v>
      </c>
      <c r="E151" s="19" t="s">
        <v>327</v>
      </c>
      <c r="F151" s="250">
        <v>52</v>
      </c>
      <c r="G151" s="98">
        <f>80%*F151</f>
        <v>41.6</v>
      </c>
      <c r="H151" s="250">
        <v>50</v>
      </c>
      <c r="I151" s="99">
        <f t="shared" si="9"/>
        <v>96.15384615384616</v>
      </c>
      <c r="J151" s="99">
        <f t="shared" si="10"/>
        <v>100</v>
      </c>
      <c r="K151" s="260"/>
      <c r="L151" s="247"/>
      <c r="M151" s="48" t="s">
        <v>1122</v>
      </c>
      <c r="N151" s="273"/>
      <c r="O151" s="276"/>
      <c r="Q151" s="139" t="s">
        <v>997</v>
      </c>
      <c r="R151" s="4" t="s">
        <v>767</v>
      </c>
    </row>
    <row r="152" spans="1:18" ht="38.25" customHeight="1" x14ac:dyDescent="0.25">
      <c r="A152" s="2" t="s">
        <v>322</v>
      </c>
      <c r="B152" s="411" t="s">
        <v>761</v>
      </c>
      <c r="C152" s="411"/>
      <c r="D152" s="344" t="s">
        <v>331</v>
      </c>
      <c r="E152" s="19" t="s">
        <v>327</v>
      </c>
      <c r="F152" s="250">
        <v>52</v>
      </c>
      <c r="G152" s="98">
        <f>90%*F152</f>
        <v>46.800000000000004</v>
      </c>
      <c r="H152" s="250">
        <v>52</v>
      </c>
      <c r="I152" s="99">
        <f t="shared" si="9"/>
        <v>100</v>
      </c>
      <c r="J152" s="99">
        <f t="shared" si="10"/>
        <v>100</v>
      </c>
      <c r="K152" s="260"/>
      <c r="L152" s="247"/>
      <c r="M152" s="48" t="s">
        <v>1122</v>
      </c>
      <c r="N152" s="273"/>
      <c r="O152" s="276"/>
      <c r="Q152" s="139" t="s">
        <v>998</v>
      </c>
      <c r="R152" s="4" t="s">
        <v>768</v>
      </c>
    </row>
    <row r="153" spans="1:18" ht="65.25" customHeight="1" x14ac:dyDescent="0.25">
      <c r="A153" s="2" t="s">
        <v>323</v>
      </c>
      <c r="B153" s="411" t="s">
        <v>762</v>
      </c>
      <c r="C153" s="411"/>
      <c r="D153" s="344" t="s">
        <v>331</v>
      </c>
      <c r="E153" s="19" t="s">
        <v>327</v>
      </c>
      <c r="F153" s="250">
        <v>10</v>
      </c>
      <c r="G153" s="98">
        <f>90%*F153</f>
        <v>9</v>
      </c>
      <c r="H153" s="250">
        <v>10</v>
      </c>
      <c r="I153" s="99">
        <f t="shared" si="9"/>
        <v>100</v>
      </c>
      <c r="J153" s="99">
        <f t="shared" si="10"/>
        <v>100</v>
      </c>
      <c r="K153" s="260"/>
      <c r="L153" s="247"/>
      <c r="M153" s="48" t="s">
        <v>1122</v>
      </c>
      <c r="N153" s="273"/>
      <c r="O153" s="276"/>
      <c r="Q153" s="139" t="s">
        <v>1104</v>
      </c>
      <c r="R153" s="4" t="s">
        <v>769</v>
      </c>
    </row>
    <row r="154" spans="1:18" ht="63.75" customHeight="1" x14ac:dyDescent="0.25">
      <c r="A154" s="2" t="s">
        <v>458</v>
      </c>
      <c r="B154" s="411" t="s">
        <v>332</v>
      </c>
      <c r="C154" s="411"/>
      <c r="D154" s="335">
        <v>1</v>
      </c>
      <c r="E154" s="48" t="s">
        <v>333</v>
      </c>
      <c r="F154" s="250">
        <v>1</v>
      </c>
      <c r="G154" s="98">
        <f>D154*F154</f>
        <v>1</v>
      </c>
      <c r="H154" s="250">
        <v>1</v>
      </c>
      <c r="I154" s="99">
        <f>H154/F154*100</f>
        <v>100</v>
      </c>
      <c r="J154" s="99">
        <f>IF(H154/G154*100&gt;=100,100,IF(H154/G154*100&lt;100,H154/G154*100))</f>
        <v>100</v>
      </c>
      <c r="K154" s="260"/>
      <c r="L154" s="247"/>
      <c r="M154" s="48" t="s">
        <v>1122</v>
      </c>
      <c r="N154" s="273"/>
      <c r="O154" s="276"/>
      <c r="Q154" s="139" t="s">
        <v>999</v>
      </c>
      <c r="R154" s="4" t="s">
        <v>464</v>
      </c>
    </row>
    <row r="155" spans="1:18" ht="57.75" customHeight="1" x14ac:dyDescent="0.25">
      <c r="A155" s="2" t="s">
        <v>756</v>
      </c>
      <c r="B155" s="410" t="s">
        <v>763</v>
      </c>
      <c r="C155" s="410"/>
      <c r="D155" s="345">
        <v>0.15</v>
      </c>
      <c r="E155" s="48" t="s">
        <v>764</v>
      </c>
      <c r="F155" s="98">
        <v>0</v>
      </c>
      <c r="G155" s="98">
        <f>D155*F155</f>
        <v>0</v>
      </c>
      <c r="H155" s="98">
        <v>0</v>
      </c>
      <c r="I155" s="99">
        <v>0</v>
      </c>
      <c r="J155" s="99">
        <v>0</v>
      </c>
      <c r="K155" s="260"/>
      <c r="L155" s="247"/>
      <c r="M155" s="48" t="s">
        <v>1131</v>
      </c>
      <c r="N155" s="273" t="s">
        <v>1150</v>
      </c>
      <c r="O155" s="276" t="s">
        <v>1155</v>
      </c>
      <c r="Q155" s="139" t="s">
        <v>1000</v>
      </c>
      <c r="R155" s="4" t="s">
        <v>770</v>
      </c>
    </row>
    <row r="156" spans="1:18" ht="25.5" customHeight="1" x14ac:dyDescent="0.25">
      <c r="A156" s="67" t="s">
        <v>771</v>
      </c>
      <c r="B156" s="67"/>
      <c r="C156" s="67"/>
      <c r="D156" s="36"/>
      <c r="E156" s="43"/>
      <c r="F156" s="268"/>
      <c r="G156" s="269"/>
      <c r="H156" s="226"/>
      <c r="I156" s="227"/>
      <c r="J156" s="99"/>
      <c r="K156" s="258">
        <f>AVERAGE(J157:J172)</f>
        <v>62.89675901386606</v>
      </c>
      <c r="L156" s="247"/>
      <c r="M156" s="224"/>
      <c r="N156" s="273"/>
      <c r="O156" s="276"/>
      <c r="Q156" s="139"/>
      <c r="R156" s="4"/>
    </row>
    <row r="157" spans="1:18" ht="54" customHeight="1" x14ac:dyDescent="0.25">
      <c r="A157" s="2">
        <v>1</v>
      </c>
      <c r="B157" s="411" t="s">
        <v>785</v>
      </c>
      <c r="C157" s="411"/>
      <c r="D157" s="335">
        <v>1</v>
      </c>
      <c r="E157" s="43" t="s">
        <v>799</v>
      </c>
      <c r="F157" s="336">
        <v>3</v>
      </c>
      <c r="G157" s="98">
        <f>D157*F157</f>
        <v>3</v>
      </c>
      <c r="H157" s="250">
        <v>3</v>
      </c>
      <c r="I157" s="99">
        <f t="shared" ref="I157:I172" si="11">H157/F157*100</f>
        <v>100</v>
      </c>
      <c r="J157" s="99">
        <f>IF(H157/G157*100&gt;=100,100,IF(H157/G157*100&lt;100,H157/G157*100))</f>
        <v>100</v>
      </c>
      <c r="K157" s="260"/>
      <c r="L157" s="247"/>
      <c r="M157" s="48" t="s">
        <v>1122</v>
      </c>
      <c r="N157" s="273"/>
      <c r="O157" s="276"/>
      <c r="Q157" s="139" t="s">
        <v>1001</v>
      </c>
      <c r="R157" s="4" t="s">
        <v>786</v>
      </c>
    </row>
    <row r="158" spans="1:18" ht="50.25" customHeight="1" x14ac:dyDescent="0.25">
      <c r="A158" s="2">
        <v>2</v>
      </c>
      <c r="B158" s="410" t="s">
        <v>465</v>
      </c>
      <c r="C158" s="410"/>
      <c r="D158" s="335">
        <v>1</v>
      </c>
      <c r="E158" s="43" t="s">
        <v>485</v>
      </c>
      <c r="F158" s="336">
        <v>22</v>
      </c>
      <c r="G158" s="98">
        <f>D158*F158</f>
        <v>22</v>
      </c>
      <c r="H158" s="250">
        <v>22</v>
      </c>
      <c r="I158" s="99">
        <f t="shared" si="11"/>
        <v>100</v>
      </c>
      <c r="J158" s="99">
        <f>IF(H158/G158*100&lt;=100,100,IF(H158/G158*100&gt;100,H158/G158*100))</f>
        <v>100</v>
      </c>
      <c r="K158" s="260"/>
      <c r="L158" s="247"/>
      <c r="M158" s="48" t="s">
        <v>1122</v>
      </c>
      <c r="N158" s="273"/>
      <c r="O158" s="276"/>
      <c r="Q158" s="139" t="s">
        <v>1105</v>
      </c>
      <c r="R158" s="4" t="s">
        <v>466</v>
      </c>
    </row>
    <row r="159" spans="1:18" ht="54.75" customHeight="1" x14ac:dyDescent="0.25">
      <c r="A159" s="2">
        <v>3</v>
      </c>
      <c r="B159" s="410" t="s">
        <v>784</v>
      </c>
      <c r="C159" s="410"/>
      <c r="D159" s="337">
        <v>1</v>
      </c>
      <c r="E159" s="43" t="s">
        <v>800</v>
      </c>
      <c r="F159" s="336">
        <v>46</v>
      </c>
      <c r="G159" s="98">
        <f>D159*F159</f>
        <v>46</v>
      </c>
      <c r="H159" s="250">
        <v>24</v>
      </c>
      <c r="I159" s="99">
        <f t="shared" si="11"/>
        <v>52.173913043478258</v>
      </c>
      <c r="J159" s="99">
        <f>IF(H159/G159*100&gt;=100,100,IF(H159/G159*100&lt;100,H159/G159*100))</f>
        <v>52.173913043478258</v>
      </c>
      <c r="K159" s="260"/>
      <c r="L159" s="247"/>
      <c r="M159" s="48" t="s">
        <v>1131</v>
      </c>
      <c r="N159" s="273" t="s">
        <v>1156</v>
      </c>
      <c r="O159" s="276" t="s">
        <v>1157</v>
      </c>
      <c r="Q159" s="139" t="s">
        <v>1002</v>
      </c>
      <c r="R159" s="4" t="s">
        <v>787</v>
      </c>
    </row>
    <row r="160" spans="1:18" ht="44.25" customHeight="1" x14ac:dyDescent="0.25">
      <c r="A160" s="2">
        <v>4</v>
      </c>
      <c r="B160" s="411" t="s">
        <v>467</v>
      </c>
      <c r="C160" s="411"/>
      <c r="D160" s="335" t="s">
        <v>783</v>
      </c>
      <c r="E160" s="43" t="s">
        <v>481</v>
      </c>
      <c r="F160" s="336">
        <v>3476</v>
      </c>
      <c r="G160" s="98">
        <f>8.8/100*F160</f>
        <v>305.88800000000003</v>
      </c>
      <c r="H160" s="250">
        <v>33</v>
      </c>
      <c r="I160" s="99">
        <f t="shared" si="11"/>
        <v>0.949367088607595</v>
      </c>
      <c r="J160" s="99">
        <f>IF(H160/G160*100&gt;=100,100,IF(H160/G160*100&lt;100,H160/G160*100))</f>
        <v>10.788262370540851</v>
      </c>
      <c r="K160" s="260"/>
      <c r="L160" s="247"/>
      <c r="M160" s="48" t="s">
        <v>1131</v>
      </c>
      <c r="N160" s="273"/>
      <c r="O160" s="276"/>
      <c r="Q160" s="139" t="s">
        <v>1003</v>
      </c>
      <c r="R160" s="4" t="s">
        <v>788</v>
      </c>
    </row>
    <row r="161" spans="1:18" ht="48.75" customHeight="1" x14ac:dyDescent="0.25">
      <c r="A161" s="2">
        <v>5</v>
      </c>
      <c r="B161" s="411" t="s">
        <v>782</v>
      </c>
      <c r="C161" s="411"/>
      <c r="D161" s="335">
        <v>1</v>
      </c>
      <c r="E161" s="338" t="s">
        <v>242</v>
      </c>
      <c r="F161" s="336">
        <v>1</v>
      </c>
      <c r="G161" s="98">
        <f t="shared" ref="G161:G172" si="12">D161*F161</f>
        <v>1</v>
      </c>
      <c r="H161" s="250">
        <v>1</v>
      </c>
      <c r="I161" s="99">
        <f t="shared" si="11"/>
        <v>100</v>
      </c>
      <c r="J161" s="99">
        <f>IF(H161/G161*100&gt;=100,100,IF(H161/G161*100&lt;100,H161/G161*100))</f>
        <v>100</v>
      </c>
      <c r="K161" s="260"/>
      <c r="L161" s="247"/>
      <c r="M161" s="48" t="s">
        <v>1122</v>
      </c>
      <c r="N161" s="273"/>
      <c r="O161" s="276"/>
      <c r="Q161" s="139" t="s">
        <v>1004</v>
      </c>
      <c r="R161" s="4" t="s">
        <v>789</v>
      </c>
    </row>
    <row r="162" spans="1:18" ht="88.5" customHeight="1" x14ac:dyDescent="0.25">
      <c r="A162" s="2">
        <v>6</v>
      </c>
      <c r="B162" s="411" t="s">
        <v>334</v>
      </c>
      <c r="C162" s="411"/>
      <c r="D162" s="44">
        <v>1</v>
      </c>
      <c r="E162" s="44" t="s">
        <v>481</v>
      </c>
      <c r="F162" s="336">
        <v>16913</v>
      </c>
      <c r="G162" s="98">
        <f t="shared" si="12"/>
        <v>16913</v>
      </c>
      <c r="H162" s="250">
        <v>14579</v>
      </c>
      <c r="I162" s="99">
        <f t="shared" si="11"/>
        <v>86.199964524330397</v>
      </c>
      <c r="J162" s="99">
        <f t="shared" ref="J162:J171" si="13">IF(H162/G162*100&gt;=100,100,IF(H162/G162*100&lt;100,H162/G162*100))</f>
        <v>86.199964524330397</v>
      </c>
      <c r="K162" s="98"/>
      <c r="L162" s="247"/>
      <c r="M162" s="48" t="s">
        <v>1131</v>
      </c>
      <c r="N162" s="330" t="s">
        <v>1158</v>
      </c>
      <c r="O162" s="330" t="s">
        <v>1159</v>
      </c>
      <c r="Q162" s="139" t="s">
        <v>1005</v>
      </c>
      <c r="R162" s="3" t="s">
        <v>468</v>
      </c>
    </row>
    <row r="163" spans="1:18" ht="73.5" customHeight="1" x14ac:dyDescent="0.25">
      <c r="A163" s="2">
        <v>7</v>
      </c>
      <c r="B163" s="411" t="s">
        <v>781</v>
      </c>
      <c r="C163" s="411"/>
      <c r="D163" s="44">
        <v>0.7</v>
      </c>
      <c r="E163" s="44" t="s">
        <v>481</v>
      </c>
      <c r="F163" s="336">
        <v>21066</v>
      </c>
      <c r="G163" s="98">
        <f t="shared" si="12"/>
        <v>14746.199999999999</v>
      </c>
      <c r="H163" s="250">
        <v>14369</v>
      </c>
      <c r="I163" s="99">
        <f t="shared" si="11"/>
        <v>68.209437007500242</v>
      </c>
      <c r="J163" s="99">
        <f t="shared" si="13"/>
        <v>97.442052867857484</v>
      </c>
      <c r="K163" s="98"/>
      <c r="L163" s="247"/>
      <c r="M163" s="48" t="s">
        <v>1122</v>
      </c>
      <c r="N163" s="339"/>
      <c r="O163" s="340"/>
      <c r="Q163" s="139" t="s">
        <v>1006</v>
      </c>
      <c r="R163" s="3" t="s">
        <v>1106</v>
      </c>
    </row>
    <row r="164" spans="1:18" ht="68.25" customHeight="1" x14ac:dyDescent="0.25">
      <c r="A164" s="2">
        <v>8</v>
      </c>
      <c r="B164" s="411" t="s">
        <v>780</v>
      </c>
      <c r="C164" s="411"/>
      <c r="D164" s="44">
        <v>0.7</v>
      </c>
      <c r="E164" s="44" t="s">
        <v>481</v>
      </c>
      <c r="F164" s="336">
        <v>21066</v>
      </c>
      <c r="G164" s="98">
        <f t="shared" si="12"/>
        <v>14746.199999999999</v>
      </c>
      <c r="H164" s="250">
        <v>13402</v>
      </c>
      <c r="I164" s="99">
        <f t="shared" si="11"/>
        <v>63.619101870312356</v>
      </c>
      <c r="J164" s="99">
        <f t="shared" si="13"/>
        <v>90.884431243303368</v>
      </c>
      <c r="K164" s="98"/>
      <c r="L164" s="247"/>
      <c r="M164" s="48" t="s">
        <v>1122</v>
      </c>
      <c r="N164" s="339" t="s">
        <v>1151</v>
      </c>
      <c r="O164" s="340" t="s">
        <v>1152</v>
      </c>
      <c r="Q164" s="139" t="s">
        <v>1007</v>
      </c>
      <c r="R164" s="3" t="s">
        <v>790</v>
      </c>
    </row>
    <row r="165" spans="1:18" ht="60" customHeight="1" x14ac:dyDescent="0.25">
      <c r="A165" s="2">
        <v>9</v>
      </c>
      <c r="B165" s="411" t="s">
        <v>779</v>
      </c>
      <c r="C165" s="411"/>
      <c r="D165" s="44">
        <v>0.7</v>
      </c>
      <c r="E165" s="44" t="s">
        <v>481</v>
      </c>
      <c r="F165" s="336">
        <v>14414</v>
      </c>
      <c r="G165" s="98">
        <f t="shared" si="12"/>
        <v>10089.799999999999</v>
      </c>
      <c r="H165" s="250">
        <v>2613</v>
      </c>
      <c r="I165" s="99">
        <f t="shared" si="11"/>
        <v>18.128208685999724</v>
      </c>
      <c r="J165" s="99">
        <f t="shared" si="13"/>
        <v>25.897440979999605</v>
      </c>
      <c r="K165" s="98"/>
      <c r="L165" s="247"/>
      <c r="M165" s="48" t="s">
        <v>1131</v>
      </c>
      <c r="N165" s="339" t="s">
        <v>1195</v>
      </c>
      <c r="O165" s="340" t="s">
        <v>1194</v>
      </c>
      <c r="Q165" s="139" t="s">
        <v>1008</v>
      </c>
      <c r="R165" s="3" t="s">
        <v>791</v>
      </c>
    </row>
    <row r="166" spans="1:18" ht="65.25" customHeight="1" x14ac:dyDescent="0.25">
      <c r="A166" s="2">
        <v>10</v>
      </c>
      <c r="B166" s="410" t="s">
        <v>778</v>
      </c>
      <c r="C166" s="410"/>
      <c r="D166" s="44">
        <v>0.7</v>
      </c>
      <c r="E166" s="44" t="s">
        <v>481</v>
      </c>
      <c r="F166" s="336">
        <v>1449</v>
      </c>
      <c r="G166" s="98">
        <f t="shared" si="12"/>
        <v>1014.3</v>
      </c>
      <c r="H166" s="250">
        <v>68</v>
      </c>
      <c r="I166" s="99">
        <f t="shared" si="11"/>
        <v>4.6928916494133883</v>
      </c>
      <c r="J166" s="99">
        <f t="shared" si="13"/>
        <v>6.704130927733412</v>
      </c>
      <c r="K166" s="98"/>
      <c r="L166" s="247"/>
      <c r="M166" s="48" t="s">
        <v>1131</v>
      </c>
      <c r="N166" s="339" t="s">
        <v>1153</v>
      </c>
      <c r="O166" s="330" t="s">
        <v>1154</v>
      </c>
      <c r="Q166" s="139" t="s">
        <v>1009</v>
      </c>
      <c r="R166" s="3" t="s">
        <v>792</v>
      </c>
    </row>
    <row r="167" spans="1:18" ht="78" customHeight="1" x14ac:dyDescent="0.25">
      <c r="A167" s="2">
        <v>11</v>
      </c>
      <c r="B167" s="410" t="s">
        <v>777</v>
      </c>
      <c r="C167" s="410"/>
      <c r="D167" s="44">
        <v>0.7</v>
      </c>
      <c r="E167" s="44" t="s">
        <v>481</v>
      </c>
      <c r="F167" s="336">
        <v>1449</v>
      </c>
      <c r="G167" s="98">
        <f t="shared" si="12"/>
        <v>1014.3</v>
      </c>
      <c r="H167" s="250">
        <v>649</v>
      </c>
      <c r="I167" s="99">
        <f t="shared" si="11"/>
        <v>44.78951000690131</v>
      </c>
      <c r="J167" s="99">
        <f t="shared" si="13"/>
        <v>63.985014295573308</v>
      </c>
      <c r="K167" s="98"/>
      <c r="L167" s="247"/>
      <c r="M167" s="48" t="s">
        <v>1122</v>
      </c>
      <c r="N167" s="341" t="s">
        <v>1160</v>
      </c>
      <c r="O167" s="342" t="s">
        <v>1161</v>
      </c>
      <c r="Q167" s="139" t="s">
        <v>1010</v>
      </c>
      <c r="R167" s="3" t="s">
        <v>793</v>
      </c>
    </row>
    <row r="168" spans="1:18" ht="71.25" customHeight="1" x14ac:dyDescent="0.25">
      <c r="A168" s="2">
        <v>12</v>
      </c>
      <c r="B168" s="410" t="s">
        <v>776</v>
      </c>
      <c r="C168" s="410"/>
      <c r="D168" s="44">
        <v>0.7</v>
      </c>
      <c r="E168" s="44" t="s">
        <v>481</v>
      </c>
      <c r="F168" s="336">
        <v>3271</v>
      </c>
      <c r="G168" s="98">
        <f t="shared" si="12"/>
        <v>2289.6999999999998</v>
      </c>
      <c r="H168" s="249">
        <v>385</v>
      </c>
      <c r="I168" s="99">
        <f t="shared" si="11"/>
        <v>11.770100886579028</v>
      </c>
      <c r="J168" s="99">
        <f t="shared" si="13"/>
        <v>16.814429837970042</v>
      </c>
      <c r="K168" s="98"/>
      <c r="L168" s="247"/>
      <c r="M168" s="48" t="s">
        <v>1131</v>
      </c>
      <c r="N168" s="341" t="s">
        <v>1162</v>
      </c>
      <c r="O168" s="342" t="s">
        <v>1163</v>
      </c>
      <c r="Q168" s="139" t="s">
        <v>1107</v>
      </c>
      <c r="R168" s="3" t="s">
        <v>794</v>
      </c>
    </row>
    <row r="169" spans="1:18" ht="81" customHeight="1" x14ac:dyDescent="0.25">
      <c r="A169" s="2">
        <v>13</v>
      </c>
      <c r="B169" s="410" t="s">
        <v>775</v>
      </c>
      <c r="C169" s="410"/>
      <c r="D169" s="44">
        <v>0.7</v>
      </c>
      <c r="E169" s="44" t="s">
        <v>481</v>
      </c>
      <c r="F169" s="336">
        <v>4068</v>
      </c>
      <c r="G169" s="98">
        <f t="shared" si="12"/>
        <v>2847.6</v>
      </c>
      <c r="H169" s="249">
        <v>3443</v>
      </c>
      <c r="I169" s="99">
        <f t="shared" si="11"/>
        <v>84.636184857423785</v>
      </c>
      <c r="J169" s="99">
        <f t="shared" si="13"/>
        <v>100</v>
      </c>
      <c r="K169" s="98"/>
      <c r="L169" s="247"/>
      <c r="M169" s="48" t="s">
        <v>1122</v>
      </c>
      <c r="N169" s="343" t="s">
        <v>1165</v>
      </c>
      <c r="O169" s="343" t="s">
        <v>1167</v>
      </c>
      <c r="Q169" s="139" t="s">
        <v>1011</v>
      </c>
      <c r="R169" s="3" t="s">
        <v>795</v>
      </c>
    </row>
    <row r="170" spans="1:18" ht="85.5" customHeight="1" x14ac:dyDescent="0.25">
      <c r="A170" s="2">
        <v>14</v>
      </c>
      <c r="B170" s="410" t="s">
        <v>774</v>
      </c>
      <c r="C170" s="410"/>
      <c r="D170" s="44">
        <v>0.7</v>
      </c>
      <c r="E170" s="44" t="s">
        <v>481</v>
      </c>
      <c r="F170" s="336">
        <v>4068</v>
      </c>
      <c r="G170" s="98">
        <f t="shared" si="12"/>
        <v>2847.6</v>
      </c>
      <c r="H170" s="249">
        <v>26</v>
      </c>
      <c r="I170" s="99">
        <f t="shared" si="11"/>
        <v>0.63913470993117005</v>
      </c>
      <c r="J170" s="99">
        <f t="shared" si="13"/>
        <v>0.91304958561595728</v>
      </c>
      <c r="K170" s="98"/>
      <c r="L170" s="247"/>
      <c r="M170" s="48" t="s">
        <v>1131</v>
      </c>
      <c r="N170" s="343" t="s">
        <v>1166</v>
      </c>
      <c r="O170" s="343" t="s">
        <v>1164</v>
      </c>
      <c r="Q170" s="139" t="s">
        <v>1012</v>
      </c>
      <c r="R170" s="3" t="s">
        <v>796</v>
      </c>
    </row>
    <row r="171" spans="1:18" ht="42.75" customHeight="1" x14ac:dyDescent="0.25">
      <c r="A171" s="2">
        <v>15</v>
      </c>
      <c r="B171" s="411" t="s">
        <v>773</v>
      </c>
      <c r="C171" s="411"/>
      <c r="D171" s="44">
        <v>0.7</v>
      </c>
      <c r="E171" s="44" t="s">
        <v>481</v>
      </c>
      <c r="F171" s="249">
        <v>24076</v>
      </c>
      <c r="G171" s="98">
        <f t="shared" si="12"/>
        <v>16853.2</v>
      </c>
      <c r="H171" s="249">
        <v>17108</v>
      </c>
      <c r="I171" s="99">
        <f t="shared" si="11"/>
        <v>71.058315334773212</v>
      </c>
      <c r="J171" s="99">
        <f t="shared" si="13"/>
        <v>100</v>
      </c>
      <c r="K171" s="98"/>
      <c r="L171" s="247"/>
      <c r="M171" s="48" t="s">
        <v>1122</v>
      </c>
      <c r="N171" s="339"/>
      <c r="O171" s="340"/>
      <c r="Q171" s="139" t="s">
        <v>1108</v>
      </c>
      <c r="R171" s="3" t="s">
        <v>797</v>
      </c>
    </row>
    <row r="172" spans="1:18" ht="65.25" customHeight="1" x14ac:dyDescent="0.25">
      <c r="A172" s="2">
        <v>16</v>
      </c>
      <c r="B172" s="410" t="s">
        <v>772</v>
      </c>
      <c r="C172" s="410"/>
      <c r="D172" s="44">
        <v>1</v>
      </c>
      <c r="E172" s="44" t="s">
        <v>481</v>
      </c>
      <c r="F172" s="250">
        <v>33</v>
      </c>
      <c r="G172" s="98">
        <f t="shared" si="12"/>
        <v>33</v>
      </c>
      <c r="H172" s="249">
        <v>18</v>
      </c>
      <c r="I172" s="99">
        <f t="shared" si="11"/>
        <v>54.54545454545454</v>
      </c>
      <c r="J172" s="99">
        <f>IF(H172/G172*100&gt;=100,100,IF(H172/G172*100&lt;100,H172/G172*100))</f>
        <v>54.54545454545454</v>
      </c>
      <c r="K172" s="98"/>
      <c r="L172" s="247"/>
      <c r="M172" s="48" t="s">
        <v>1122</v>
      </c>
      <c r="N172" s="339"/>
      <c r="O172" s="340"/>
      <c r="Q172" s="139" t="s">
        <v>1013</v>
      </c>
      <c r="R172" s="3" t="s">
        <v>798</v>
      </c>
    </row>
    <row r="173" spans="1:18" ht="26.25" customHeight="1" x14ac:dyDescent="0.25">
      <c r="A173" s="39" t="s">
        <v>801</v>
      </c>
      <c r="B173" s="39"/>
      <c r="C173" s="39"/>
      <c r="D173" s="43"/>
      <c r="E173" s="43"/>
      <c r="F173" s="226"/>
      <c r="G173" s="98"/>
      <c r="H173" s="249"/>
      <c r="I173" s="227"/>
      <c r="J173" s="99"/>
      <c r="K173" s="208">
        <f>AVERAGE(J174:J175)</f>
        <v>100</v>
      </c>
      <c r="L173" s="247"/>
      <c r="M173" s="224"/>
      <c r="N173" s="273"/>
      <c r="O173" s="276"/>
      <c r="Q173" s="139"/>
      <c r="R173" s="46"/>
    </row>
    <row r="174" spans="1:18" ht="72" customHeight="1" x14ac:dyDescent="0.25">
      <c r="A174" s="320">
        <v>1</v>
      </c>
      <c r="B174" s="411" t="s">
        <v>802</v>
      </c>
      <c r="C174" s="411"/>
      <c r="D174" s="44" t="s">
        <v>803</v>
      </c>
      <c r="E174" s="333" t="s">
        <v>481</v>
      </c>
      <c r="F174" s="332">
        <v>5267</v>
      </c>
      <c r="G174" s="98">
        <f>F174*60%</f>
        <v>3160.2</v>
      </c>
      <c r="H174" s="249">
        <v>3182</v>
      </c>
      <c r="I174" s="99">
        <f>H174/F174*100</f>
        <v>60.413897854566166</v>
      </c>
      <c r="J174" s="138">
        <f>IF(H174/G174*100&gt;=100,100,IF(H174/G174*100&lt;100,H174/G174*100))</f>
        <v>100</v>
      </c>
      <c r="K174" s="99"/>
      <c r="L174" s="247"/>
      <c r="M174" s="48" t="s">
        <v>1122</v>
      </c>
      <c r="N174" s="273" t="s">
        <v>1170</v>
      </c>
      <c r="O174" s="276" t="s">
        <v>1171</v>
      </c>
      <c r="Q174" s="139" t="s">
        <v>1014</v>
      </c>
      <c r="R174" s="334" t="s">
        <v>810</v>
      </c>
    </row>
    <row r="175" spans="1:18" ht="69" customHeight="1" x14ac:dyDescent="0.25">
      <c r="A175" s="2">
        <v>2</v>
      </c>
      <c r="B175" s="411" t="s">
        <v>804</v>
      </c>
      <c r="C175" s="411"/>
      <c r="D175" s="43" t="s">
        <v>805</v>
      </c>
      <c r="E175" s="333" t="s">
        <v>247</v>
      </c>
      <c r="F175" s="332">
        <v>174</v>
      </c>
      <c r="G175" s="98">
        <f>F175*60%</f>
        <v>104.39999999999999</v>
      </c>
      <c r="H175" s="249">
        <v>116</v>
      </c>
      <c r="I175" s="99">
        <f>H175/F175*100</f>
        <v>66.666666666666657</v>
      </c>
      <c r="J175" s="138">
        <f>IF(H175/G175*100&gt;=100,100,IF(H175/G175*100&lt;100,H175/G175*100))</f>
        <v>100</v>
      </c>
      <c r="K175" s="99"/>
      <c r="L175" s="247"/>
      <c r="M175" s="48" t="s">
        <v>1122</v>
      </c>
      <c r="N175" s="273"/>
      <c r="O175" s="276"/>
      <c r="Q175" s="139" t="s">
        <v>1015</v>
      </c>
      <c r="R175" s="3" t="s">
        <v>811</v>
      </c>
    </row>
    <row r="176" spans="1:18" ht="53.25" customHeight="1" x14ac:dyDescent="0.25">
      <c r="A176" s="2">
        <v>3</v>
      </c>
      <c r="B176" s="411" t="s">
        <v>806</v>
      </c>
      <c r="C176" s="411"/>
      <c r="D176" s="44" t="s">
        <v>807</v>
      </c>
      <c r="E176" s="333" t="s">
        <v>247</v>
      </c>
      <c r="F176" s="332">
        <v>0</v>
      </c>
      <c r="G176" s="98">
        <f>F176*100%</f>
        <v>0</v>
      </c>
      <c r="H176" s="249">
        <v>0</v>
      </c>
      <c r="I176" s="99">
        <v>0</v>
      </c>
      <c r="J176" s="138">
        <v>100</v>
      </c>
      <c r="K176" s="99"/>
      <c r="L176" s="247"/>
      <c r="M176" s="48" t="s">
        <v>1122</v>
      </c>
      <c r="N176" s="330" t="s">
        <v>1168</v>
      </c>
      <c r="O176" s="330" t="s">
        <v>1169</v>
      </c>
      <c r="Q176" s="139" t="s">
        <v>1016</v>
      </c>
      <c r="R176" s="334" t="s">
        <v>812</v>
      </c>
    </row>
    <row r="177" spans="1:18" ht="51.75" customHeight="1" x14ac:dyDescent="0.25">
      <c r="A177" s="2">
        <v>4</v>
      </c>
      <c r="B177" s="411" t="s">
        <v>808</v>
      </c>
      <c r="C177" s="411"/>
      <c r="D177" s="43" t="s">
        <v>809</v>
      </c>
      <c r="E177" s="333" t="s">
        <v>247</v>
      </c>
      <c r="F177" s="332">
        <v>0</v>
      </c>
      <c r="G177" s="98">
        <f>10%*F177</f>
        <v>0</v>
      </c>
      <c r="H177" s="249">
        <v>0</v>
      </c>
      <c r="I177" s="99">
        <v>0</v>
      </c>
      <c r="J177" s="138">
        <v>100</v>
      </c>
      <c r="K177" s="99"/>
      <c r="L177" s="247"/>
      <c r="M177" s="48" t="s">
        <v>1122</v>
      </c>
      <c r="N177" s="330" t="s">
        <v>1168</v>
      </c>
      <c r="O177" s="330" t="s">
        <v>1169</v>
      </c>
      <c r="Q177" s="139" t="s">
        <v>1017</v>
      </c>
      <c r="R177" s="3" t="s">
        <v>813</v>
      </c>
    </row>
    <row r="178" spans="1:18" ht="35.25" customHeight="1" x14ac:dyDescent="0.25">
      <c r="A178" s="408" t="s">
        <v>580</v>
      </c>
      <c r="B178" s="409"/>
      <c r="C178" s="409"/>
      <c r="D178" s="409"/>
      <c r="E178" s="409"/>
      <c r="F178" s="308"/>
      <c r="G178" s="98"/>
      <c r="H178" s="250"/>
      <c r="I178" s="227"/>
      <c r="J178" s="99"/>
      <c r="K178" s="272">
        <f>AVERAGE(J179:J182)</f>
        <v>100</v>
      </c>
      <c r="L178" s="137">
        <f>AVERAGE(J179:J182)</f>
        <v>100</v>
      </c>
      <c r="M178" s="224"/>
      <c r="N178" s="273"/>
      <c r="O178" s="276"/>
      <c r="Q178" s="139"/>
      <c r="R178" s="3"/>
    </row>
    <row r="179" spans="1:18" ht="60" customHeight="1" x14ac:dyDescent="0.25">
      <c r="A179" s="43">
        <v>1</v>
      </c>
      <c r="B179" s="411" t="s">
        <v>470</v>
      </c>
      <c r="C179" s="411"/>
      <c r="D179" s="44">
        <v>0.6</v>
      </c>
      <c r="E179" s="43" t="s">
        <v>488</v>
      </c>
      <c r="F179" s="332">
        <v>3750</v>
      </c>
      <c r="G179" s="98">
        <f>D179*F179</f>
        <v>2250</v>
      </c>
      <c r="H179" s="250">
        <v>2626</v>
      </c>
      <c r="I179" s="99">
        <f>H179/F179*100</f>
        <v>70.026666666666671</v>
      </c>
      <c r="J179" s="138">
        <f>IF(H179/G179*100&gt;=100,100,IF(H179/G179*100&lt;100,H179/G179*100))</f>
        <v>100</v>
      </c>
      <c r="K179" s="99"/>
      <c r="L179" s="247"/>
      <c r="M179" s="48" t="s">
        <v>1122</v>
      </c>
      <c r="N179" s="273"/>
      <c r="O179" s="273"/>
      <c r="Q179" s="139" t="s">
        <v>1018</v>
      </c>
      <c r="R179" s="3" t="s">
        <v>471</v>
      </c>
    </row>
    <row r="180" spans="1:18" ht="68.25" customHeight="1" x14ac:dyDescent="0.25">
      <c r="A180" s="43">
        <v>2</v>
      </c>
      <c r="B180" s="411" t="s">
        <v>472</v>
      </c>
      <c r="C180" s="411"/>
      <c r="D180" s="44">
        <v>0.4</v>
      </c>
      <c r="E180" s="43" t="s">
        <v>488</v>
      </c>
      <c r="F180" s="332">
        <v>2626</v>
      </c>
      <c r="G180" s="98">
        <f>D180*F180</f>
        <v>1050.4000000000001</v>
      </c>
      <c r="H180" s="250">
        <v>1638</v>
      </c>
      <c r="I180" s="99">
        <f>H180/F180*100</f>
        <v>62.376237623762378</v>
      </c>
      <c r="J180" s="138">
        <f>IF(H180/G180*100&gt;=100,100,IF(H180/G180*100&lt;100,H180/G180*100))</f>
        <v>100</v>
      </c>
      <c r="K180" s="99"/>
      <c r="L180" s="247"/>
      <c r="M180" s="48" t="s">
        <v>1122</v>
      </c>
      <c r="N180" s="273"/>
      <c r="O180" s="273"/>
      <c r="Q180" s="139" t="s">
        <v>1019</v>
      </c>
      <c r="R180" s="3" t="s">
        <v>473</v>
      </c>
    </row>
    <row r="181" spans="1:18" ht="55.5" customHeight="1" x14ac:dyDescent="0.25">
      <c r="A181" s="43">
        <v>3</v>
      </c>
      <c r="B181" s="411" t="s">
        <v>474</v>
      </c>
      <c r="C181" s="411"/>
      <c r="D181" s="44">
        <v>0.5</v>
      </c>
      <c r="E181" s="43" t="s">
        <v>489</v>
      </c>
      <c r="F181" s="332">
        <v>75</v>
      </c>
      <c r="G181" s="98">
        <f>D181*F181</f>
        <v>37.5</v>
      </c>
      <c r="H181" s="250">
        <v>38</v>
      </c>
      <c r="I181" s="99">
        <f>H181/F181*100</f>
        <v>50.666666666666671</v>
      </c>
      <c r="J181" s="138">
        <f>IF(H181/G181*100&gt;=100,100,IF(H181/G181*100&lt;100,H181/G181*100))</f>
        <v>100</v>
      </c>
      <c r="K181" s="99"/>
      <c r="L181" s="247"/>
      <c r="M181" s="48" t="s">
        <v>1122</v>
      </c>
      <c r="N181" s="273"/>
      <c r="O181" s="276"/>
      <c r="Q181" s="139" t="s">
        <v>1020</v>
      </c>
      <c r="R181" s="3" t="s">
        <v>475</v>
      </c>
    </row>
    <row r="182" spans="1:18" ht="53.25" customHeight="1" x14ac:dyDescent="0.25">
      <c r="A182" s="43">
        <v>4</v>
      </c>
      <c r="B182" s="411" t="s">
        <v>476</v>
      </c>
      <c r="C182" s="411"/>
      <c r="D182" s="44">
        <v>0.3</v>
      </c>
      <c r="E182" s="43" t="s">
        <v>333</v>
      </c>
      <c r="F182" s="332">
        <v>9</v>
      </c>
      <c r="G182" s="98">
        <f>D182*F182</f>
        <v>2.6999999999999997</v>
      </c>
      <c r="H182" s="250">
        <v>9</v>
      </c>
      <c r="I182" s="99">
        <f>H182/F182*100</f>
        <v>100</v>
      </c>
      <c r="J182" s="138">
        <f>IF(H182/G182*100&gt;=100,100,IF(H182/G182*100&lt;100,H182/G182*100))</f>
        <v>100</v>
      </c>
      <c r="K182" s="99"/>
      <c r="L182" s="247"/>
      <c r="M182" s="48" t="s">
        <v>1122</v>
      </c>
      <c r="N182" s="273"/>
      <c r="O182" s="276"/>
      <c r="Q182" s="139" t="s">
        <v>1021</v>
      </c>
      <c r="R182" s="3" t="s">
        <v>477</v>
      </c>
    </row>
    <row r="185" spans="1:18" ht="18" x14ac:dyDescent="0.25">
      <c r="A185" s="78"/>
      <c r="B185" s="77" t="s">
        <v>335</v>
      </c>
      <c r="C185" s="75"/>
      <c r="D185" s="79"/>
      <c r="E185" s="80"/>
      <c r="F185" s="80"/>
      <c r="G185" s="80"/>
      <c r="H185" s="80"/>
      <c r="I185" s="80"/>
      <c r="J185" s="80"/>
      <c r="K185" s="80"/>
      <c r="L185" s="80"/>
      <c r="M185" s="80"/>
      <c r="N185" s="280"/>
      <c r="O185" s="280"/>
    </row>
    <row r="186" spans="1:18" ht="18" x14ac:dyDescent="0.25">
      <c r="A186" s="51"/>
      <c r="B186" s="51"/>
      <c r="C186" s="81"/>
      <c r="D186" s="288"/>
      <c r="E186" s="71"/>
      <c r="F186" s="80"/>
      <c r="G186" s="82"/>
      <c r="H186" s="80"/>
      <c r="I186" s="82"/>
      <c r="J186" s="82"/>
      <c r="K186" s="82"/>
      <c r="L186" s="82"/>
      <c r="M186" s="82"/>
      <c r="N186" s="281"/>
      <c r="O186" s="281"/>
    </row>
    <row r="187" spans="1:18" ht="18" x14ac:dyDescent="0.25">
      <c r="A187" s="51"/>
      <c r="B187" s="51"/>
      <c r="C187" s="83" t="s">
        <v>336</v>
      </c>
      <c r="D187" s="289"/>
      <c r="E187" s="71"/>
      <c r="F187" s="51"/>
      <c r="G187" s="51"/>
      <c r="H187" s="51"/>
      <c r="I187" s="51"/>
      <c r="J187" s="51"/>
      <c r="K187" s="51"/>
      <c r="L187" s="51"/>
      <c r="M187" s="80"/>
      <c r="N187" s="280"/>
      <c r="O187" s="280"/>
    </row>
    <row r="188" spans="1:18" ht="18" x14ac:dyDescent="0.25">
      <c r="A188" s="51"/>
      <c r="B188" s="51"/>
      <c r="C188" s="422" t="s">
        <v>337</v>
      </c>
      <c r="D188" s="422"/>
      <c r="E188" s="84" t="s">
        <v>338</v>
      </c>
      <c r="F188" s="51"/>
      <c r="G188" s="51"/>
      <c r="H188" s="51"/>
      <c r="I188" s="51"/>
      <c r="J188" s="51"/>
      <c r="K188" s="51"/>
      <c r="L188" s="51"/>
      <c r="M188" s="80"/>
      <c r="N188" s="280"/>
      <c r="O188" s="280"/>
    </row>
    <row r="189" spans="1:18" ht="30.75" x14ac:dyDescent="0.25">
      <c r="A189" s="51"/>
      <c r="B189" s="51"/>
      <c r="C189" s="422" t="s">
        <v>339</v>
      </c>
      <c r="D189" s="422"/>
      <c r="E189" s="85" t="s">
        <v>340</v>
      </c>
      <c r="F189" s="51"/>
      <c r="G189" s="51"/>
      <c r="H189" s="51"/>
      <c r="I189" s="51"/>
      <c r="J189" s="51"/>
      <c r="K189" s="51"/>
      <c r="L189" s="51"/>
      <c r="M189" s="80"/>
      <c r="N189" s="280"/>
      <c r="O189" s="280"/>
    </row>
    <row r="190" spans="1:18" ht="18" x14ac:dyDescent="0.25">
      <c r="A190" s="51"/>
      <c r="B190" s="51"/>
      <c r="C190" s="422" t="s">
        <v>341</v>
      </c>
      <c r="D190" s="422"/>
      <c r="E190" s="84" t="s">
        <v>342</v>
      </c>
      <c r="F190" s="51"/>
      <c r="G190" s="51"/>
      <c r="H190" s="51"/>
      <c r="I190" s="51"/>
      <c r="J190" s="51"/>
      <c r="K190" s="51"/>
      <c r="L190" s="51"/>
      <c r="M190" s="80"/>
      <c r="N190" s="280"/>
      <c r="O190" s="280"/>
    </row>
    <row r="191" spans="1:18" ht="18" x14ac:dyDescent="0.25">
      <c r="A191" s="51"/>
      <c r="B191" s="51"/>
      <c r="C191" s="51"/>
      <c r="D191" s="288"/>
      <c r="E191" s="71"/>
      <c r="F191" s="51"/>
      <c r="G191" s="51"/>
      <c r="H191" s="51"/>
      <c r="I191" s="51"/>
      <c r="J191" s="51"/>
      <c r="K191" s="51"/>
      <c r="L191" s="51"/>
      <c r="M191" s="80"/>
      <c r="N191" s="280"/>
      <c r="O191" s="280"/>
    </row>
    <row r="192" spans="1:18" ht="18" x14ac:dyDescent="0.25">
      <c r="A192" s="51"/>
      <c r="B192" s="52" t="s">
        <v>343</v>
      </c>
      <c r="C192" s="53" t="s">
        <v>344</v>
      </c>
      <c r="D192" s="290"/>
      <c r="E192" s="72"/>
      <c r="F192" s="55"/>
      <c r="G192" s="55"/>
      <c r="H192" s="56"/>
      <c r="I192" s="56"/>
      <c r="J192" s="56"/>
      <c r="K192" s="56"/>
      <c r="L192" s="56"/>
      <c r="M192" s="56"/>
      <c r="N192" s="282"/>
      <c r="O192" s="280"/>
    </row>
    <row r="193" spans="1:15" ht="18" x14ac:dyDescent="0.25">
      <c r="A193" s="51"/>
      <c r="B193" s="50">
        <v>2</v>
      </c>
      <c r="C193" s="420" t="s">
        <v>345</v>
      </c>
      <c r="D193" s="421"/>
      <c r="E193" s="421"/>
      <c r="F193" s="421"/>
      <c r="G193" s="421"/>
      <c r="H193" s="421"/>
      <c r="I193" s="421"/>
      <c r="J193" s="421"/>
      <c r="K193" s="421"/>
      <c r="L193" s="421"/>
      <c r="M193" s="421"/>
      <c r="N193" s="421"/>
      <c r="O193" s="280"/>
    </row>
    <row r="194" spans="1:15" ht="18" x14ac:dyDescent="0.25">
      <c r="A194" s="51"/>
      <c r="B194" s="50"/>
      <c r="C194" s="57" t="s">
        <v>346</v>
      </c>
      <c r="D194" s="291"/>
      <c r="E194" s="65"/>
      <c r="F194" s="57"/>
      <c r="G194" s="57"/>
      <c r="H194" s="57"/>
      <c r="I194" s="57"/>
      <c r="J194" s="57"/>
      <c r="K194" s="57"/>
      <c r="L194" s="57"/>
      <c r="M194" s="58"/>
      <c r="N194" s="283"/>
      <c r="O194" s="280"/>
    </row>
    <row r="195" spans="1:15" ht="18" x14ac:dyDescent="0.25">
      <c r="A195" s="51"/>
      <c r="B195" s="50"/>
      <c r="C195" s="57" t="s">
        <v>347</v>
      </c>
      <c r="D195" s="291"/>
      <c r="E195" s="65"/>
      <c r="F195" s="57"/>
      <c r="G195" s="57"/>
      <c r="H195" s="57"/>
      <c r="I195" s="57"/>
      <c r="J195" s="57"/>
      <c r="K195" s="57"/>
      <c r="L195" s="57"/>
      <c r="M195" s="58"/>
      <c r="N195" s="283"/>
      <c r="O195" s="280"/>
    </row>
    <row r="196" spans="1:15" ht="28.5" customHeight="1" x14ac:dyDescent="0.25">
      <c r="A196" s="51"/>
      <c r="B196" s="50"/>
      <c r="C196" s="417" t="s">
        <v>348</v>
      </c>
      <c r="D196" s="418"/>
      <c r="E196" s="418"/>
      <c r="F196" s="418"/>
      <c r="G196" s="418"/>
      <c r="H196" s="418"/>
      <c r="I196" s="418"/>
      <c r="J196" s="418"/>
      <c r="K196" s="418"/>
      <c r="L196" s="418"/>
      <c r="M196" s="418"/>
      <c r="N196" s="418"/>
      <c r="O196" s="280"/>
    </row>
    <row r="197" spans="1:15" ht="18" x14ac:dyDescent="0.25">
      <c r="A197" s="51"/>
      <c r="B197" s="50">
        <v>3</v>
      </c>
      <c r="C197" s="57" t="s">
        <v>490</v>
      </c>
      <c r="D197" s="291"/>
      <c r="E197" s="65"/>
      <c r="F197" s="57"/>
      <c r="G197" s="57"/>
      <c r="H197" s="57"/>
      <c r="I197" s="57"/>
      <c r="J197" s="57"/>
      <c r="K197" s="57"/>
      <c r="L197" s="57"/>
      <c r="M197" s="58"/>
      <c r="N197" s="283"/>
      <c r="O197" s="280"/>
    </row>
    <row r="198" spans="1:15" ht="18" x14ac:dyDescent="0.25">
      <c r="A198" s="51"/>
      <c r="B198" s="50">
        <v>4</v>
      </c>
      <c r="C198" s="59" t="s">
        <v>349</v>
      </c>
      <c r="D198" s="292"/>
      <c r="E198" s="65"/>
      <c r="F198" s="59"/>
      <c r="G198" s="59"/>
      <c r="H198" s="58"/>
      <c r="I198" s="58"/>
      <c r="J198" s="58"/>
      <c r="K198" s="58"/>
      <c r="L198" s="58"/>
      <c r="M198" s="58"/>
      <c r="N198" s="283"/>
      <c r="O198" s="280"/>
    </row>
    <row r="199" spans="1:15" ht="18" x14ac:dyDescent="0.25">
      <c r="A199" s="51"/>
      <c r="B199" s="50">
        <v>5</v>
      </c>
      <c r="C199" s="59" t="s">
        <v>350</v>
      </c>
      <c r="D199" s="292"/>
      <c r="E199" s="65"/>
      <c r="F199" s="59"/>
      <c r="G199" s="59"/>
      <c r="H199" s="58"/>
      <c r="I199" s="58"/>
      <c r="J199" s="58"/>
      <c r="K199" s="58"/>
      <c r="L199" s="58"/>
      <c r="M199" s="58"/>
      <c r="N199" s="283"/>
      <c r="O199" s="280"/>
    </row>
    <row r="200" spans="1:15" ht="18" x14ac:dyDescent="0.25">
      <c r="A200" s="51"/>
      <c r="B200" s="50">
        <v>6</v>
      </c>
      <c r="C200" s="420" t="s">
        <v>567</v>
      </c>
      <c r="D200" s="421"/>
      <c r="E200" s="421"/>
      <c r="F200" s="421"/>
      <c r="G200" s="421"/>
      <c r="H200" s="421"/>
      <c r="I200" s="421"/>
      <c r="J200" s="421"/>
      <c r="K200" s="421"/>
      <c r="L200" s="421"/>
      <c r="M200" s="129"/>
      <c r="N200" s="284"/>
      <c r="O200" s="280"/>
    </row>
    <row r="201" spans="1:15" ht="18" x14ac:dyDescent="0.25">
      <c r="A201" s="51"/>
      <c r="B201" s="50">
        <v>7</v>
      </c>
      <c r="C201" s="57" t="s">
        <v>351</v>
      </c>
      <c r="D201" s="290"/>
      <c r="E201" s="73"/>
      <c r="F201" s="54"/>
      <c r="G201" s="54"/>
      <c r="H201" s="54"/>
      <c r="I201" s="54"/>
      <c r="J201" s="54"/>
      <c r="K201" s="54"/>
      <c r="L201" s="54"/>
      <c r="M201" s="129"/>
      <c r="N201" s="284"/>
      <c r="O201" s="280"/>
    </row>
    <row r="202" spans="1:15" ht="18" x14ac:dyDescent="0.25">
      <c r="A202" s="51"/>
      <c r="B202" s="50">
        <v>8</v>
      </c>
      <c r="C202" s="57" t="s">
        <v>352</v>
      </c>
      <c r="D202" s="290"/>
      <c r="E202" s="73"/>
      <c r="F202" s="54"/>
      <c r="G202" s="54"/>
      <c r="H202" s="54"/>
      <c r="I202" s="54"/>
      <c r="J202" s="54"/>
      <c r="K202" s="54"/>
      <c r="L202" s="54"/>
      <c r="M202" s="129"/>
      <c r="N202" s="284"/>
      <c r="O202" s="280"/>
    </row>
    <row r="203" spans="1:15" ht="18" x14ac:dyDescent="0.25">
      <c r="A203" s="51"/>
      <c r="B203" s="60" t="s">
        <v>353</v>
      </c>
      <c r="C203" s="57" t="s">
        <v>354</v>
      </c>
      <c r="D203" s="290"/>
      <c r="E203" s="73"/>
      <c r="F203" s="54"/>
      <c r="G203" s="54"/>
      <c r="H203" s="54"/>
      <c r="I203" s="54"/>
      <c r="J203" s="54"/>
      <c r="K203" s="54"/>
      <c r="L203" s="54"/>
      <c r="M203" s="129"/>
      <c r="N203" s="284"/>
      <c r="O203" s="280"/>
    </row>
    <row r="204" spans="1:15" ht="18" x14ac:dyDescent="0.25">
      <c r="A204" s="51"/>
      <c r="B204" s="50">
        <v>9</v>
      </c>
      <c r="C204" s="57" t="s">
        <v>355</v>
      </c>
      <c r="D204" s="290"/>
      <c r="E204" s="73"/>
      <c r="F204" s="54"/>
      <c r="G204" s="54"/>
      <c r="H204" s="54"/>
      <c r="I204" s="54"/>
      <c r="J204" s="54"/>
      <c r="K204" s="54"/>
      <c r="L204" s="54"/>
      <c r="M204" s="129"/>
      <c r="N204" s="284"/>
      <c r="O204" s="280"/>
    </row>
    <row r="205" spans="1:15" ht="18" x14ac:dyDescent="0.25">
      <c r="A205" s="51"/>
      <c r="B205" s="50">
        <v>10</v>
      </c>
      <c r="C205" s="57" t="s">
        <v>356</v>
      </c>
      <c r="D205" s="290"/>
      <c r="E205" s="73"/>
      <c r="F205" s="54"/>
      <c r="G205" s="54"/>
      <c r="H205" s="54"/>
      <c r="I205" s="54"/>
      <c r="J205" s="54"/>
      <c r="K205" s="54"/>
      <c r="L205" s="54"/>
      <c r="M205" s="129"/>
      <c r="N205" s="284"/>
      <c r="O205" s="280"/>
    </row>
    <row r="206" spans="1:15" ht="18" x14ac:dyDescent="0.25">
      <c r="A206" s="51"/>
      <c r="B206" s="50"/>
      <c r="C206" s="57" t="s">
        <v>357</v>
      </c>
      <c r="D206" s="290"/>
      <c r="E206" s="73"/>
      <c r="F206" s="54"/>
      <c r="G206" s="54"/>
      <c r="H206" s="54"/>
      <c r="I206" s="54"/>
      <c r="J206" s="54"/>
      <c r="K206" s="54"/>
      <c r="L206" s="54"/>
      <c r="M206" s="129"/>
      <c r="N206" s="284"/>
      <c r="O206" s="280"/>
    </row>
    <row r="207" spans="1:15" ht="18" x14ac:dyDescent="0.25">
      <c r="A207" s="51"/>
      <c r="B207" s="50">
        <v>11</v>
      </c>
      <c r="C207" s="57" t="s">
        <v>358</v>
      </c>
      <c r="D207" s="290"/>
      <c r="E207" s="73"/>
      <c r="F207" s="54"/>
      <c r="G207" s="54"/>
      <c r="H207" s="54"/>
      <c r="I207" s="54"/>
      <c r="J207" s="54"/>
      <c r="K207" s="54"/>
      <c r="L207" s="54"/>
      <c r="M207" s="129"/>
      <c r="N207" s="284"/>
      <c r="O207" s="280"/>
    </row>
    <row r="208" spans="1:15" ht="18" x14ac:dyDescent="0.25">
      <c r="A208" s="51"/>
      <c r="B208" s="50">
        <v>12</v>
      </c>
      <c r="C208" s="54" t="s">
        <v>569</v>
      </c>
      <c r="D208" s="290"/>
      <c r="E208" s="73"/>
      <c r="F208" s="54"/>
      <c r="G208" s="54"/>
      <c r="H208" s="54"/>
      <c r="I208" s="54"/>
      <c r="J208" s="54"/>
      <c r="K208" s="54"/>
      <c r="L208" s="54"/>
      <c r="M208" s="129"/>
      <c r="N208" s="284"/>
      <c r="O208" s="280"/>
    </row>
    <row r="209" spans="1:15" ht="18" x14ac:dyDescent="0.25">
      <c r="A209" s="51"/>
      <c r="B209" s="50">
        <v>13</v>
      </c>
      <c r="C209" s="61" t="s">
        <v>359</v>
      </c>
      <c r="D209" s="293"/>
      <c r="E209" s="50"/>
      <c r="F209" s="62"/>
      <c r="G209" s="63"/>
      <c r="H209" s="54"/>
      <c r="I209" s="54"/>
      <c r="J209" s="54"/>
      <c r="K209" s="54"/>
      <c r="L209" s="54"/>
      <c r="M209" s="129"/>
      <c r="N209" s="285"/>
      <c r="O209" s="280"/>
    </row>
    <row r="210" spans="1:15" ht="18" x14ac:dyDescent="0.25">
      <c r="A210" s="51"/>
      <c r="B210" s="50">
        <v>14</v>
      </c>
      <c r="C210" s="61" t="s">
        <v>360</v>
      </c>
      <c r="D210" s="293"/>
      <c r="E210" s="50"/>
      <c r="F210" s="62"/>
      <c r="G210" s="63"/>
      <c r="H210" s="54"/>
      <c r="I210" s="54"/>
      <c r="J210" s="54"/>
      <c r="K210" s="54"/>
      <c r="L210" s="54"/>
      <c r="M210" s="129"/>
      <c r="N210" s="285"/>
      <c r="O210" s="280"/>
    </row>
  </sheetData>
  <mergeCells count="175">
    <mergeCell ref="B91:C91"/>
    <mergeCell ref="B39:C39"/>
    <mergeCell ref="B40:C40"/>
    <mergeCell ref="B42:C42"/>
    <mergeCell ref="B43:C43"/>
    <mergeCell ref="B45:C45"/>
    <mergeCell ref="B46:C46"/>
    <mergeCell ref="B47:C47"/>
    <mergeCell ref="B49:C49"/>
    <mergeCell ref="B50:C50"/>
    <mergeCell ref="B57:C57"/>
    <mergeCell ref="B58:C58"/>
    <mergeCell ref="B69:C69"/>
    <mergeCell ref="B70:C70"/>
    <mergeCell ref="B71:C71"/>
    <mergeCell ref="B72:C72"/>
    <mergeCell ref="B86:C86"/>
    <mergeCell ref="B87:C87"/>
    <mergeCell ref="B88:C88"/>
    <mergeCell ref="B139:C139"/>
    <mergeCell ref="B127:C127"/>
    <mergeCell ref="B128:C128"/>
    <mergeCell ref="B130:C130"/>
    <mergeCell ref="B131:C131"/>
    <mergeCell ref="B132:C132"/>
    <mergeCell ref="A136:C136"/>
    <mergeCell ref="B143:C143"/>
    <mergeCell ref="B182:C182"/>
    <mergeCell ref="B179:C179"/>
    <mergeCell ref="B180:C180"/>
    <mergeCell ref="B181:C181"/>
    <mergeCell ref="B174:C174"/>
    <mergeCell ref="B175:C175"/>
    <mergeCell ref="B176:C176"/>
    <mergeCell ref="B177:C177"/>
    <mergeCell ref="B134:C134"/>
    <mergeCell ref="B135:C135"/>
    <mergeCell ref="B137:C137"/>
    <mergeCell ref="B138:C138"/>
    <mergeCell ref="B164:C164"/>
    <mergeCell ref="B165:C165"/>
    <mergeCell ref="B166:C166"/>
    <mergeCell ref="B167:C167"/>
    <mergeCell ref="B123:C123"/>
    <mergeCell ref="B124:C124"/>
    <mergeCell ref="B126:C126"/>
    <mergeCell ref="B102:C102"/>
    <mergeCell ref="B103:C103"/>
    <mergeCell ref="B104:C104"/>
    <mergeCell ref="A117:C117"/>
    <mergeCell ref="B112:C112"/>
    <mergeCell ref="B113:C113"/>
    <mergeCell ref="B114:C114"/>
    <mergeCell ref="B99:C99"/>
    <mergeCell ref="B95:C95"/>
    <mergeCell ref="B96:C96"/>
    <mergeCell ref="B97:C97"/>
    <mergeCell ref="B35:C35"/>
    <mergeCell ref="B21:C21"/>
    <mergeCell ref="B23:C23"/>
    <mergeCell ref="B24:C24"/>
    <mergeCell ref="B26:C26"/>
    <mergeCell ref="B27:C27"/>
    <mergeCell ref="A33:C33"/>
    <mergeCell ref="B28:C28"/>
    <mergeCell ref="B30:C30"/>
    <mergeCell ref="B31:C31"/>
    <mergeCell ref="B34:C34"/>
    <mergeCell ref="B98:C98"/>
    <mergeCell ref="B93:C93"/>
    <mergeCell ref="B51:C51"/>
    <mergeCell ref="B54:C54"/>
    <mergeCell ref="B55:C55"/>
    <mergeCell ref="B56:C56"/>
    <mergeCell ref="A53:C53"/>
    <mergeCell ref="A59:C59"/>
    <mergeCell ref="B90:C90"/>
    <mergeCell ref="B11:C11"/>
    <mergeCell ref="B12:C12"/>
    <mergeCell ref="B13:C13"/>
    <mergeCell ref="B19:C19"/>
    <mergeCell ref="B20:C20"/>
    <mergeCell ref="B15:C15"/>
    <mergeCell ref="B16:C16"/>
    <mergeCell ref="B17:C17"/>
    <mergeCell ref="A1:E1"/>
    <mergeCell ref="D2:E2"/>
    <mergeCell ref="A14:C14"/>
    <mergeCell ref="A18:C18"/>
    <mergeCell ref="A5:A6"/>
    <mergeCell ref="B5:C6"/>
    <mergeCell ref="D5:D6"/>
    <mergeCell ref="O5:O6"/>
    <mergeCell ref="E5:E6"/>
    <mergeCell ref="B7:C7"/>
    <mergeCell ref="A3:O3"/>
    <mergeCell ref="F5:F6"/>
    <mergeCell ref="G5:G6"/>
    <mergeCell ref="H5:H6"/>
    <mergeCell ref="I5:I6"/>
    <mergeCell ref="J5:L5"/>
    <mergeCell ref="M5:M6"/>
    <mergeCell ref="N5:N6"/>
    <mergeCell ref="C200:L200"/>
    <mergeCell ref="C188:D188"/>
    <mergeCell ref="A41:E41"/>
    <mergeCell ref="A100:E100"/>
    <mergeCell ref="A85:E85"/>
    <mergeCell ref="A76:E76"/>
    <mergeCell ref="A38:E38"/>
    <mergeCell ref="A48:E48"/>
    <mergeCell ref="C189:D189"/>
    <mergeCell ref="C190:D190"/>
    <mergeCell ref="C193:N193"/>
    <mergeCell ref="B161:C161"/>
    <mergeCell ref="B172:C172"/>
    <mergeCell ref="B155:C155"/>
    <mergeCell ref="B157:C157"/>
    <mergeCell ref="B158:C158"/>
    <mergeCell ref="B159:C159"/>
    <mergeCell ref="B160:C160"/>
    <mergeCell ref="B149:C149"/>
    <mergeCell ref="B150:C150"/>
    <mergeCell ref="B151:C151"/>
    <mergeCell ref="B152:C152"/>
    <mergeCell ref="B153:C153"/>
    <mergeCell ref="B144:C144"/>
    <mergeCell ref="C196:N196"/>
    <mergeCell ref="B145:C145"/>
    <mergeCell ref="B147:C147"/>
    <mergeCell ref="B148:C148"/>
    <mergeCell ref="B140:C140"/>
    <mergeCell ref="B141:C141"/>
    <mergeCell ref="B142:C142"/>
    <mergeCell ref="B37:C37"/>
    <mergeCell ref="B92:C92"/>
    <mergeCell ref="B115:C115"/>
    <mergeCell ref="B116:C116"/>
    <mergeCell ref="B118:C118"/>
    <mergeCell ref="B119:C119"/>
    <mergeCell ref="B121:C121"/>
    <mergeCell ref="B52:E52"/>
    <mergeCell ref="B81:C81"/>
    <mergeCell ref="B60:C60"/>
    <mergeCell ref="B61:C61"/>
    <mergeCell ref="B62:C62"/>
    <mergeCell ref="B63:C63"/>
    <mergeCell ref="B77:C77"/>
    <mergeCell ref="B78:C78"/>
    <mergeCell ref="B79:C79"/>
    <mergeCell ref="B80:C80"/>
    <mergeCell ref="A178:E178"/>
    <mergeCell ref="B168:C168"/>
    <mergeCell ref="B169:C169"/>
    <mergeCell ref="B170:C170"/>
    <mergeCell ref="B171:C171"/>
    <mergeCell ref="B36:C36"/>
    <mergeCell ref="B106:C106"/>
    <mergeCell ref="B107:C107"/>
    <mergeCell ref="B109:C109"/>
    <mergeCell ref="B120:C120"/>
    <mergeCell ref="B154:C154"/>
    <mergeCell ref="B162:C162"/>
    <mergeCell ref="B163:C163"/>
    <mergeCell ref="A73:C73"/>
    <mergeCell ref="B74:C74"/>
    <mergeCell ref="B75:C75"/>
    <mergeCell ref="B65:C65"/>
    <mergeCell ref="B66:C66"/>
    <mergeCell ref="A101:C101"/>
    <mergeCell ref="A111:C111"/>
    <mergeCell ref="B110:C110"/>
    <mergeCell ref="B82:C82"/>
    <mergeCell ref="B83:C83"/>
    <mergeCell ref="B68:C68"/>
  </mergeCells>
  <pageMargins left="0.39370078740157483" right="0.39370078740157483" top="0.39370078740157483" bottom="0.39370078740157483" header="0.31496062992125984" footer="0.31496062992125984"/>
  <pageSetup paperSize="14" scale="65" orientation="landscape" r:id="rId1"/>
  <rowBreaks count="17" manualBreakCount="17">
    <brk id="21" max="16383" man="1"/>
    <brk id="31" max="16383" man="1"/>
    <brk id="43" max="16383" man="1"/>
    <brk id="51" max="16383" man="1"/>
    <brk id="63" max="16383" man="1"/>
    <brk id="72" max="16383" man="1"/>
    <brk id="83" max="16383" man="1"/>
    <brk id="93" max="16383" man="1"/>
    <brk id="99" max="16383" man="1"/>
    <brk id="116" max="16383" man="1"/>
    <brk id="128" max="16383" man="1"/>
    <brk id="135" max="16383" man="1"/>
    <brk id="145" max="16383" man="1"/>
    <brk id="155" max="16383" man="1"/>
    <brk id="166" max="17" man="1"/>
    <brk id="172" max="16383" man="1"/>
    <brk id="190" max="17" man="1"/>
  </rowBreaks>
  <colBreaks count="1" manualBreakCount="1">
    <brk id="15"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0"/>
  <sheetViews>
    <sheetView view="pageBreakPreview" topLeftCell="A4" zoomScale="76" zoomScaleNormal="89" zoomScaleSheetLayoutView="76" workbookViewId="0">
      <selection activeCell="H29" sqref="H29"/>
    </sheetView>
  </sheetViews>
  <sheetFormatPr defaultColWidth="9.140625" defaultRowHeight="15" x14ac:dyDescent="0.25"/>
  <cols>
    <col min="1" max="1" width="5.42578125" style="141" customWidth="1"/>
    <col min="2" max="2" width="9.5703125" style="141" customWidth="1"/>
    <col min="3" max="3" width="21.85546875" style="141" customWidth="1"/>
    <col min="4" max="4" width="9.7109375" style="141" customWidth="1"/>
    <col min="5" max="5" width="12.42578125" style="141" customWidth="1"/>
    <col min="6" max="6" width="10.85546875" style="193" customWidth="1"/>
    <col min="7" max="7" width="10.7109375" style="193" customWidth="1"/>
    <col min="8" max="8" width="10.140625" style="193" customWidth="1"/>
    <col min="9" max="9" width="10.7109375" style="141" customWidth="1"/>
    <col min="10" max="10" width="10.5703125" style="141" customWidth="1"/>
    <col min="11" max="11" width="9.5703125" style="141" customWidth="1"/>
    <col min="12" max="12" width="10.85546875" style="193" customWidth="1"/>
    <col min="13" max="13" width="15" style="298" customWidth="1"/>
    <col min="14" max="14" width="31.5703125" style="304" customWidth="1"/>
    <col min="15" max="15" width="34.7109375" style="304" customWidth="1"/>
    <col min="16" max="16" width="9.140625" style="141"/>
    <col min="17" max="18" width="120.7109375" style="141" customWidth="1"/>
    <col min="19" max="16384" width="9.140625" style="141"/>
  </cols>
  <sheetData>
    <row r="1" spans="1:18" x14ac:dyDescent="0.25">
      <c r="A1" s="448" t="s">
        <v>491</v>
      </c>
      <c r="B1" s="448"/>
      <c r="C1" s="448"/>
      <c r="D1" s="448"/>
      <c r="E1" s="448"/>
      <c r="F1" s="448"/>
      <c r="G1" s="448"/>
      <c r="H1" s="448"/>
      <c r="I1" s="448"/>
      <c r="J1" s="448"/>
      <c r="K1" s="448"/>
      <c r="L1" s="448"/>
      <c r="M1" s="448"/>
      <c r="N1" s="448"/>
      <c r="O1" s="448"/>
    </row>
    <row r="2" spans="1:18" x14ac:dyDescent="0.25">
      <c r="A2" s="449" t="s">
        <v>1179</v>
      </c>
      <c r="B2" s="449"/>
      <c r="C2" s="449"/>
      <c r="D2" s="449"/>
      <c r="E2" s="449"/>
      <c r="F2" s="449"/>
      <c r="G2" s="449"/>
      <c r="H2" s="449"/>
      <c r="I2" s="449"/>
      <c r="J2" s="449"/>
      <c r="K2" s="449"/>
      <c r="L2" s="449"/>
      <c r="M2" s="449"/>
      <c r="N2" s="449"/>
      <c r="O2" s="449"/>
    </row>
    <row r="3" spans="1:18" x14ac:dyDescent="0.25">
      <c r="A3" s="145"/>
      <c r="B3" s="145"/>
      <c r="C3" s="145"/>
      <c r="D3" s="145"/>
      <c r="E3" s="145"/>
      <c r="F3" s="188"/>
      <c r="G3" s="188"/>
      <c r="H3" s="188"/>
      <c r="I3" s="145"/>
      <c r="J3" s="145"/>
      <c r="K3" s="145"/>
      <c r="L3" s="188"/>
      <c r="M3" s="295"/>
      <c r="N3" s="277"/>
      <c r="O3" s="277"/>
    </row>
    <row r="4" spans="1:18" ht="15" customHeight="1" x14ac:dyDescent="0.25">
      <c r="A4" s="450" t="s">
        <v>1</v>
      </c>
      <c r="B4" s="452" t="s">
        <v>1089</v>
      </c>
      <c r="C4" s="453"/>
      <c r="D4" s="442" t="s">
        <v>1088</v>
      </c>
      <c r="E4" s="435" t="s">
        <v>198</v>
      </c>
      <c r="F4" s="435" t="s">
        <v>199</v>
      </c>
      <c r="G4" s="435" t="s">
        <v>200</v>
      </c>
      <c r="H4" s="435" t="s">
        <v>201</v>
      </c>
      <c r="I4" s="435" t="s">
        <v>202</v>
      </c>
      <c r="J4" s="435" t="s">
        <v>203</v>
      </c>
      <c r="K4" s="435"/>
      <c r="L4" s="435"/>
      <c r="M4" s="435" t="s">
        <v>204</v>
      </c>
      <c r="N4" s="456" t="s">
        <v>205</v>
      </c>
      <c r="O4" s="457" t="s">
        <v>206</v>
      </c>
    </row>
    <row r="5" spans="1:18" ht="66" customHeight="1" x14ac:dyDescent="0.25">
      <c r="A5" s="451"/>
      <c r="B5" s="454"/>
      <c r="C5" s="455"/>
      <c r="D5" s="442"/>
      <c r="E5" s="435"/>
      <c r="F5" s="435"/>
      <c r="G5" s="435"/>
      <c r="H5" s="435"/>
      <c r="I5" s="435"/>
      <c r="J5" s="49" t="s">
        <v>207</v>
      </c>
      <c r="K5" s="49" t="s">
        <v>208</v>
      </c>
      <c r="L5" s="49" t="s">
        <v>209</v>
      </c>
      <c r="M5" s="435"/>
      <c r="N5" s="456"/>
      <c r="O5" s="458"/>
      <c r="Q5" s="166" t="s">
        <v>3</v>
      </c>
      <c r="R5" s="166" t="s">
        <v>362</v>
      </c>
    </row>
    <row r="6" spans="1:18" ht="15" customHeight="1" x14ac:dyDescent="0.25">
      <c r="A6" s="161" t="s">
        <v>9</v>
      </c>
      <c r="B6" s="461" t="s">
        <v>10</v>
      </c>
      <c r="C6" s="435"/>
      <c r="D6" s="7" t="s">
        <v>11</v>
      </c>
      <c r="E6" s="7" t="s">
        <v>12</v>
      </c>
      <c r="F6" s="7" t="s">
        <v>13</v>
      </c>
      <c r="G6" s="7" t="s">
        <v>14</v>
      </c>
      <c r="H6" s="7" t="s">
        <v>15</v>
      </c>
      <c r="I6" s="7" t="s">
        <v>190</v>
      </c>
      <c r="J6" s="7" t="s">
        <v>210</v>
      </c>
      <c r="K6" s="7" t="s">
        <v>211</v>
      </c>
      <c r="L6" s="7" t="s">
        <v>212</v>
      </c>
      <c r="M6" s="296" t="s">
        <v>213</v>
      </c>
      <c r="N6" s="306" t="s">
        <v>214</v>
      </c>
      <c r="O6" s="306" t="s">
        <v>215</v>
      </c>
    </row>
    <row r="7" spans="1:18" ht="30.75" customHeight="1" x14ac:dyDescent="0.25">
      <c r="A7" s="462" t="s">
        <v>513</v>
      </c>
      <c r="B7" s="462"/>
      <c r="C7" s="462"/>
      <c r="D7" s="45"/>
      <c r="E7" s="45"/>
      <c r="F7" s="189"/>
      <c r="G7" s="189"/>
      <c r="H7" s="189"/>
      <c r="I7" s="126"/>
      <c r="J7" s="126"/>
      <c r="K7" s="126"/>
      <c r="L7" s="214">
        <f>AVERAGE(L8,L11,L13,L15,L21,L26,L31)</f>
        <v>99.278499278499268</v>
      </c>
      <c r="M7" s="233"/>
      <c r="N7" s="274"/>
      <c r="O7" s="274"/>
    </row>
    <row r="8" spans="1:18" ht="32.25" customHeight="1" x14ac:dyDescent="0.25">
      <c r="A8" s="463" t="s">
        <v>492</v>
      </c>
      <c r="B8" s="463"/>
      <c r="C8" s="463"/>
      <c r="D8" s="46"/>
      <c r="E8" s="101"/>
      <c r="F8" s="164"/>
      <c r="G8" s="164"/>
      <c r="H8" s="164"/>
      <c r="I8" s="138"/>
      <c r="J8" s="138"/>
      <c r="K8" s="138"/>
      <c r="L8" s="183">
        <f>AVERAGE(K9:K10)</f>
        <v>100</v>
      </c>
      <c r="M8" s="297"/>
      <c r="N8" s="274"/>
      <c r="O8" s="274"/>
    </row>
    <row r="9" spans="1:18" ht="60.75" customHeight="1" x14ac:dyDescent="0.25">
      <c r="A9" s="43" t="s">
        <v>168</v>
      </c>
      <c r="B9" s="411" t="s">
        <v>493</v>
      </c>
      <c r="C9" s="411"/>
      <c r="D9" s="44">
        <v>0.55000000000000004</v>
      </c>
      <c r="E9" s="328" t="s">
        <v>814</v>
      </c>
      <c r="F9" s="249">
        <v>35</v>
      </c>
      <c r="G9" s="164">
        <f>D9*F9</f>
        <v>19.25</v>
      </c>
      <c r="H9" s="254">
        <v>20</v>
      </c>
      <c r="I9" s="138">
        <f>H9/F9*100</f>
        <v>57.142857142857139</v>
      </c>
      <c r="J9" s="182" t="s">
        <v>586</v>
      </c>
      <c r="K9" s="100">
        <f>IF(H9/G9*100&gt;=100,100,IF(H9/G9*100&lt;100,H9/G9*100))</f>
        <v>100</v>
      </c>
      <c r="L9" s="100"/>
      <c r="M9" s="164" t="s">
        <v>1122</v>
      </c>
      <c r="N9" s="274"/>
      <c r="O9" s="274"/>
      <c r="Q9" s="130" t="s">
        <v>1022</v>
      </c>
      <c r="R9" s="130" t="s">
        <v>830</v>
      </c>
    </row>
    <row r="10" spans="1:18" ht="54" customHeight="1" x14ac:dyDescent="0.25">
      <c r="A10" s="43" t="s">
        <v>219</v>
      </c>
      <c r="B10" s="411" t="s">
        <v>494</v>
      </c>
      <c r="C10" s="411"/>
      <c r="D10" s="44">
        <v>0.3</v>
      </c>
      <c r="E10" s="328" t="s">
        <v>815</v>
      </c>
      <c r="F10" s="249">
        <v>72</v>
      </c>
      <c r="G10" s="164">
        <f>D10*F10</f>
        <v>21.599999999999998</v>
      </c>
      <c r="H10" s="254">
        <v>22</v>
      </c>
      <c r="I10" s="138">
        <f>H10/F10*100</f>
        <v>30.555555555555557</v>
      </c>
      <c r="J10" s="329" t="s">
        <v>586</v>
      </c>
      <c r="K10" s="100">
        <f>IF(H10/G10*100&gt;=100,100,IF(H10/G10*100&lt;100,H10/G10*100))</f>
        <v>100</v>
      </c>
      <c r="L10" s="100"/>
      <c r="M10" s="48" t="s">
        <v>1122</v>
      </c>
      <c r="N10" s="274"/>
      <c r="O10" s="274"/>
      <c r="Q10" s="130" t="s">
        <v>1023</v>
      </c>
      <c r="R10" s="130" t="s">
        <v>831</v>
      </c>
    </row>
    <row r="11" spans="1:18" ht="34.5" customHeight="1" x14ac:dyDescent="0.25">
      <c r="A11" s="408" t="s">
        <v>819</v>
      </c>
      <c r="B11" s="409"/>
      <c r="C11" s="409"/>
      <c r="D11" s="409"/>
      <c r="E11" s="423"/>
      <c r="F11" s="250"/>
      <c r="G11" s="164"/>
      <c r="H11" s="254"/>
      <c r="I11" s="230"/>
      <c r="J11" s="165"/>
      <c r="K11" s="165"/>
      <c r="L11" s="183">
        <f>K12</f>
        <v>100</v>
      </c>
      <c r="M11" s="297"/>
      <c r="N11" s="274"/>
      <c r="O11" s="274"/>
      <c r="Q11" s="130"/>
      <c r="R11" s="130"/>
    </row>
    <row r="12" spans="1:18" ht="83.25" customHeight="1" x14ac:dyDescent="0.25">
      <c r="A12" s="43" t="s">
        <v>232</v>
      </c>
      <c r="B12" s="411" t="s">
        <v>495</v>
      </c>
      <c r="C12" s="411"/>
      <c r="D12" s="44">
        <v>0.1</v>
      </c>
      <c r="E12" s="327" t="s">
        <v>704</v>
      </c>
      <c r="F12" s="331">
        <v>22</v>
      </c>
      <c r="G12" s="164">
        <f>D12*F12</f>
        <v>2.2000000000000002</v>
      </c>
      <c r="H12" s="254">
        <v>9</v>
      </c>
      <c r="I12" s="138">
        <f>H12/F12*100</f>
        <v>40.909090909090914</v>
      </c>
      <c r="J12" s="138"/>
      <c r="K12" s="100">
        <f>IF(H12/G12*100&gt;=100,100,IF(H12/G12*100&lt;100,H12/G12*100))</f>
        <v>100</v>
      </c>
      <c r="L12" s="138"/>
      <c r="M12" s="164" t="s">
        <v>1122</v>
      </c>
      <c r="N12" s="274"/>
      <c r="O12" s="274"/>
      <c r="Q12" s="130" t="s">
        <v>1024</v>
      </c>
      <c r="R12" s="130" t="s">
        <v>832</v>
      </c>
    </row>
    <row r="13" spans="1:18" ht="33.75" customHeight="1" x14ac:dyDescent="0.25">
      <c r="A13" s="463" t="s">
        <v>820</v>
      </c>
      <c r="B13" s="463"/>
      <c r="C13" s="463"/>
      <c r="D13" s="3"/>
      <c r="E13" s="101"/>
      <c r="F13" s="250"/>
      <c r="G13" s="164"/>
      <c r="H13" s="254"/>
      <c r="I13" s="229"/>
      <c r="J13" s="138"/>
      <c r="K13" s="138"/>
      <c r="L13" s="183">
        <f>K14</f>
        <v>100</v>
      </c>
      <c r="M13" s="297"/>
      <c r="N13" s="274"/>
      <c r="O13" s="274"/>
      <c r="Q13" s="130"/>
      <c r="R13" s="130"/>
    </row>
    <row r="14" spans="1:18" ht="54.75" customHeight="1" x14ac:dyDescent="0.25">
      <c r="A14" s="43" t="s">
        <v>168</v>
      </c>
      <c r="B14" s="411" t="s">
        <v>496</v>
      </c>
      <c r="C14" s="411"/>
      <c r="D14" s="44">
        <v>1</v>
      </c>
      <c r="E14" s="101" t="s">
        <v>247</v>
      </c>
      <c r="F14" s="250">
        <v>34</v>
      </c>
      <c r="G14" s="164">
        <f>D14*F14</f>
        <v>34</v>
      </c>
      <c r="H14" s="254">
        <v>34</v>
      </c>
      <c r="I14" s="138">
        <f>H14/F14*100</f>
        <v>100</v>
      </c>
      <c r="J14" s="182" t="s">
        <v>586</v>
      </c>
      <c r="K14" s="138">
        <f>IF(I14/H14*100&gt;=100,100,IF(I14/H14*100&lt;100,I14/H14*100))</f>
        <v>100</v>
      </c>
      <c r="L14" s="138"/>
      <c r="M14" s="164" t="s">
        <v>1122</v>
      </c>
      <c r="N14" s="274"/>
      <c r="O14" s="274"/>
      <c r="Q14" s="130" t="s">
        <v>1025</v>
      </c>
      <c r="R14" s="130" t="s">
        <v>833</v>
      </c>
    </row>
    <row r="15" spans="1:18" ht="30.75" customHeight="1" x14ac:dyDescent="0.25">
      <c r="A15" s="408" t="s">
        <v>821</v>
      </c>
      <c r="B15" s="409"/>
      <c r="C15" s="409"/>
      <c r="D15" s="409"/>
      <c r="E15" s="423"/>
      <c r="F15" s="250"/>
      <c r="G15" s="164"/>
      <c r="H15" s="254"/>
      <c r="I15" s="229"/>
      <c r="J15" s="138"/>
      <c r="K15" s="138"/>
      <c r="L15" s="183">
        <f>AVERAGE(K16:K20)</f>
        <v>100</v>
      </c>
      <c r="M15" s="297"/>
      <c r="N15" s="274"/>
      <c r="O15" s="274"/>
      <c r="Q15" s="130"/>
      <c r="R15" s="130"/>
    </row>
    <row r="16" spans="1:18" ht="45" customHeight="1" x14ac:dyDescent="0.25">
      <c r="A16" s="43" t="s">
        <v>168</v>
      </c>
      <c r="B16" s="411" t="s">
        <v>497</v>
      </c>
      <c r="C16" s="411"/>
      <c r="D16" s="44">
        <v>0.25</v>
      </c>
      <c r="E16" s="101" t="s">
        <v>247</v>
      </c>
      <c r="F16" s="250">
        <v>25</v>
      </c>
      <c r="G16" s="164">
        <f>D16*F16</f>
        <v>6.25</v>
      </c>
      <c r="H16" s="254">
        <v>14</v>
      </c>
      <c r="I16" s="138">
        <f>H16/F16*100</f>
        <v>56.000000000000007</v>
      </c>
      <c r="J16" s="329" t="s">
        <v>586</v>
      </c>
      <c r="K16" s="100">
        <f>IF(H16/G16*100&gt;=100,100,IF(H16/G16*100&lt;100,H16/G16*100))</f>
        <v>100</v>
      </c>
      <c r="L16" s="138"/>
      <c r="M16" s="164" t="s">
        <v>1122</v>
      </c>
      <c r="N16" s="273"/>
      <c r="O16" s="273"/>
      <c r="Q16" s="130" t="s">
        <v>1026</v>
      </c>
      <c r="R16" s="130" t="s">
        <v>825</v>
      </c>
    </row>
    <row r="17" spans="1:18" ht="45" customHeight="1" x14ac:dyDescent="0.25">
      <c r="A17" s="43" t="s">
        <v>219</v>
      </c>
      <c r="B17" s="411" t="s">
        <v>499</v>
      </c>
      <c r="C17" s="411"/>
      <c r="D17" s="44">
        <v>0.15</v>
      </c>
      <c r="E17" s="101" t="s">
        <v>589</v>
      </c>
      <c r="F17" s="250">
        <v>0</v>
      </c>
      <c r="G17" s="164">
        <f>D17*F17</f>
        <v>0</v>
      </c>
      <c r="H17" s="254">
        <v>0</v>
      </c>
      <c r="I17" s="138">
        <v>0</v>
      </c>
      <c r="J17" s="329" t="s">
        <v>586</v>
      </c>
      <c r="K17" s="100">
        <v>100</v>
      </c>
      <c r="L17" s="138"/>
      <c r="M17" s="164" t="s">
        <v>1122</v>
      </c>
      <c r="N17" s="330" t="s">
        <v>1172</v>
      </c>
      <c r="O17" s="330" t="s">
        <v>1173</v>
      </c>
      <c r="Q17" s="130" t="s">
        <v>1027</v>
      </c>
      <c r="R17" s="130" t="s">
        <v>826</v>
      </c>
    </row>
    <row r="18" spans="1:18" ht="38.25" customHeight="1" x14ac:dyDescent="0.25">
      <c r="A18" s="43" t="s">
        <v>182</v>
      </c>
      <c r="B18" s="411" t="s">
        <v>500</v>
      </c>
      <c r="C18" s="411"/>
      <c r="D18" s="44">
        <v>0.5</v>
      </c>
      <c r="E18" s="101" t="s">
        <v>247</v>
      </c>
      <c r="F18" s="250">
        <v>25</v>
      </c>
      <c r="G18" s="164">
        <f>D18*F18</f>
        <v>12.5</v>
      </c>
      <c r="H18" s="254">
        <v>22</v>
      </c>
      <c r="I18" s="138">
        <f>H18/F18*100</f>
        <v>88</v>
      </c>
      <c r="J18" s="329" t="s">
        <v>586</v>
      </c>
      <c r="K18" s="100">
        <f>IF(H18/G18*100&gt;=100,100,IF(H18/G18*100&lt;100,H18/G18*100))</f>
        <v>100</v>
      </c>
      <c r="L18" s="138"/>
      <c r="M18" s="164" t="s">
        <v>1122</v>
      </c>
      <c r="N18" s="274"/>
      <c r="O18" s="274"/>
      <c r="Q18" s="130" t="s">
        <v>1028</v>
      </c>
      <c r="R18" s="130" t="s">
        <v>827</v>
      </c>
    </row>
    <row r="19" spans="1:18" ht="30.75" customHeight="1" x14ac:dyDescent="0.25">
      <c r="A19" s="43" t="s">
        <v>257</v>
      </c>
      <c r="B19" s="411" t="s">
        <v>498</v>
      </c>
      <c r="C19" s="411"/>
      <c r="D19" s="44">
        <v>0.2</v>
      </c>
      <c r="E19" s="101" t="s">
        <v>588</v>
      </c>
      <c r="F19" s="250">
        <v>9</v>
      </c>
      <c r="G19" s="164">
        <f>D19*F19</f>
        <v>1.8</v>
      </c>
      <c r="H19" s="254">
        <v>5</v>
      </c>
      <c r="I19" s="138">
        <f>H19/F19*100</f>
        <v>55.555555555555557</v>
      </c>
      <c r="J19" s="329" t="s">
        <v>586</v>
      </c>
      <c r="K19" s="100">
        <f>IF(H19/G19*100&gt;=100,100,IF(H19/G19*100&lt;100,H19/G19*100))</f>
        <v>100</v>
      </c>
      <c r="L19" s="138"/>
      <c r="M19" s="164" t="s">
        <v>1122</v>
      </c>
      <c r="N19" s="273"/>
      <c r="O19" s="273"/>
      <c r="Q19" s="130" t="s">
        <v>1029</v>
      </c>
      <c r="R19" s="130" t="s">
        <v>828</v>
      </c>
    </row>
    <row r="20" spans="1:18" ht="51" customHeight="1" x14ac:dyDescent="0.25">
      <c r="A20" s="43" t="s">
        <v>265</v>
      </c>
      <c r="B20" s="411" t="s">
        <v>816</v>
      </c>
      <c r="C20" s="411"/>
      <c r="D20" s="44" t="s">
        <v>817</v>
      </c>
      <c r="E20" s="101" t="s">
        <v>818</v>
      </c>
      <c r="F20" s="250">
        <v>1</v>
      </c>
      <c r="G20" s="164">
        <v>1</v>
      </c>
      <c r="H20" s="254">
        <v>1</v>
      </c>
      <c r="I20" s="138">
        <f>H20/F20*100</f>
        <v>100</v>
      </c>
      <c r="J20" s="329" t="s">
        <v>586</v>
      </c>
      <c r="K20" s="100">
        <f>IF(H20/G20*100&gt;=100,100,IF(H20/G20*100&lt;100,H20/G20*100))</f>
        <v>100</v>
      </c>
      <c r="L20" s="138"/>
      <c r="M20" s="164" t="s">
        <v>1122</v>
      </c>
      <c r="N20" s="273"/>
      <c r="O20" s="273"/>
      <c r="Q20" s="130" t="s">
        <v>1030</v>
      </c>
      <c r="R20" s="130" t="s">
        <v>829</v>
      </c>
    </row>
    <row r="21" spans="1:18" ht="32.25" customHeight="1" x14ac:dyDescent="0.25">
      <c r="A21" s="414" t="s">
        <v>822</v>
      </c>
      <c r="B21" s="414"/>
      <c r="C21" s="414"/>
      <c r="D21" s="46"/>
      <c r="E21" s="101"/>
      <c r="F21" s="250"/>
      <c r="G21" s="164"/>
      <c r="H21" s="254"/>
      <c r="I21" s="229"/>
      <c r="J21" s="138"/>
      <c r="K21" s="138"/>
      <c r="L21" s="183">
        <f>AVERAGE(K22:K25)</f>
        <v>97.727272727272734</v>
      </c>
      <c r="M21" s="297"/>
      <c r="N21" s="274"/>
      <c r="O21" s="274"/>
      <c r="Q21" s="130"/>
      <c r="R21" s="130"/>
    </row>
    <row r="22" spans="1:18" ht="32.25" customHeight="1" x14ac:dyDescent="0.25">
      <c r="A22" s="325" t="s">
        <v>168</v>
      </c>
      <c r="B22" s="460" t="s">
        <v>501</v>
      </c>
      <c r="C22" s="460"/>
      <c r="D22" s="326">
        <v>0.4</v>
      </c>
      <c r="E22" s="328" t="s">
        <v>590</v>
      </c>
      <c r="F22" s="250">
        <v>55</v>
      </c>
      <c r="G22" s="164">
        <f>D22*F22</f>
        <v>22</v>
      </c>
      <c r="H22" s="254">
        <v>49</v>
      </c>
      <c r="I22" s="138">
        <f>H22/F22*100</f>
        <v>89.090909090909093</v>
      </c>
      <c r="J22" s="329" t="s">
        <v>586</v>
      </c>
      <c r="K22" s="100">
        <f>IF(H22/G22*100&gt;=100,100,IF(H22/G22*100&lt;100,H22/G22*100))</f>
        <v>100</v>
      </c>
      <c r="L22" s="138"/>
      <c r="M22" s="164" t="s">
        <v>1122</v>
      </c>
      <c r="N22" s="274"/>
      <c r="O22" s="274"/>
      <c r="Q22" s="130" t="s">
        <v>1031</v>
      </c>
      <c r="R22" s="130" t="s">
        <v>834</v>
      </c>
    </row>
    <row r="23" spans="1:18" ht="39" customHeight="1" x14ac:dyDescent="0.25">
      <c r="A23" s="325" t="s">
        <v>219</v>
      </c>
      <c r="B23" s="460" t="s">
        <v>502</v>
      </c>
      <c r="C23" s="460"/>
      <c r="D23" s="326">
        <v>0.9</v>
      </c>
      <c r="E23" s="328" t="s">
        <v>247</v>
      </c>
      <c r="F23" s="250">
        <v>29</v>
      </c>
      <c r="G23" s="164">
        <f>D23*F23</f>
        <v>26.1</v>
      </c>
      <c r="H23" s="254">
        <v>27</v>
      </c>
      <c r="I23" s="138">
        <f>H23/F23*100</f>
        <v>93.103448275862064</v>
      </c>
      <c r="J23" s="329" t="s">
        <v>586</v>
      </c>
      <c r="K23" s="100">
        <v>100</v>
      </c>
      <c r="L23" s="138"/>
      <c r="M23" s="48" t="s">
        <v>1122</v>
      </c>
      <c r="N23" s="273"/>
      <c r="O23" s="274"/>
      <c r="Q23" s="130" t="s">
        <v>1032</v>
      </c>
      <c r="R23" s="130" t="s">
        <v>835</v>
      </c>
    </row>
    <row r="24" spans="1:18" ht="51.75" customHeight="1" x14ac:dyDescent="0.25">
      <c r="A24" s="325" t="s">
        <v>182</v>
      </c>
      <c r="B24" s="460" t="s">
        <v>503</v>
      </c>
      <c r="C24" s="460"/>
      <c r="D24" s="326">
        <v>0.3</v>
      </c>
      <c r="E24" s="328" t="s">
        <v>705</v>
      </c>
      <c r="F24" s="250">
        <v>12</v>
      </c>
      <c r="G24" s="164">
        <f>D24*F24</f>
        <v>3.5999999999999996</v>
      </c>
      <c r="H24" s="254">
        <v>6</v>
      </c>
      <c r="I24" s="138">
        <f>H24/F24*100</f>
        <v>50</v>
      </c>
      <c r="J24" s="329" t="s">
        <v>586</v>
      </c>
      <c r="K24" s="100">
        <f>IF(H24/G24*100&gt;=100,100,IF(H24/G24*100&lt;100,H24/G24*100))</f>
        <v>100</v>
      </c>
      <c r="L24" s="138"/>
      <c r="M24" s="164" t="s">
        <v>1122</v>
      </c>
      <c r="N24" s="274"/>
      <c r="O24" s="274"/>
      <c r="Q24" s="130" t="s">
        <v>1033</v>
      </c>
      <c r="R24" s="130" t="s">
        <v>836</v>
      </c>
    </row>
    <row r="25" spans="1:18" ht="45" customHeight="1" x14ac:dyDescent="0.25">
      <c r="A25" s="325">
        <v>4</v>
      </c>
      <c r="B25" s="460" t="s">
        <v>504</v>
      </c>
      <c r="C25" s="460"/>
      <c r="D25" s="326">
        <v>0.35</v>
      </c>
      <c r="E25" s="326" t="s">
        <v>704</v>
      </c>
      <c r="F25" s="250">
        <v>22</v>
      </c>
      <c r="G25" s="164">
        <f>D25*F25</f>
        <v>7.6999999999999993</v>
      </c>
      <c r="H25" s="254">
        <v>7</v>
      </c>
      <c r="I25" s="138">
        <f>H25/F25*100</f>
        <v>31.818181818181817</v>
      </c>
      <c r="J25" s="329" t="s">
        <v>586</v>
      </c>
      <c r="K25" s="100">
        <f>IF(H25/G25*100&gt;=100,100,IF(H25/G25*100&lt;100,H25/G25*100))</f>
        <v>90.909090909090921</v>
      </c>
      <c r="L25" s="189"/>
      <c r="M25" s="48" t="s">
        <v>1122</v>
      </c>
      <c r="N25" s="273"/>
      <c r="O25" s="273"/>
      <c r="Q25" s="130" t="s">
        <v>1034</v>
      </c>
      <c r="R25" s="130" t="s">
        <v>837</v>
      </c>
    </row>
    <row r="26" spans="1:18" ht="35.25" customHeight="1" x14ac:dyDescent="0.25">
      <c r="A26" s="414" t="s">
        <v>823</v>
      </c>
      <c r="B26" s="414"/>
      <c r="C26" s="414"/>
      <c r="D26" s="3"/>
      <c r="E26" s="155"/>
      <c r="F26" s="250"/>
      <c r="G26" s="164"/>
      <c r="H26" s="254"/>
      <c r="I26" s="230"/>
      <c r="J26" s="165"/>
      <c r="K26" s="165"/>
      <c r="L26" s="183">
        <f>AVERAGE(K27:K29)</f>
        <v>97.222222222222214</v>
      </c>
      <c r="M26" s="297"/>
      <c r="N26" s="274"/>
      <c r="O26" s="274"/>
      <c r="Q26" s="130"/>
      <c r="R26" s="130"/>
    </row>
    <row r="27" spans="1:18" ht="52.5" customHeight="1" x14ac:dyDescent="0.25">
      <c r="A27" s="325" t="s">
        <v>505</v>
      </c>
      <c r="B27" s="460" t="s">
        <v>506</v>
      </c>
      <c r="C27" s="460"/>
      <c r="D27" s="326">
        <v>0.5</v>
      </c>
      <c r="E27" s="327" t="s">
        <v>705</v>
      </c>
      <c r="F27" s="250">
        <v>12</v>
      </c>
      <c r="G27" s="164">
        <f>D27*F27</f>
        <v>6</v>
      </c>
      <c r="H27" s="254">
        <v>11</v>
      </c>
      <c r="I27" s="138">
        <f>H27/F27*100</f>
        <v>91.666666666666657</v>
      </c>
      <c r="J27" s="182" t="s">
        <v>586</v>
      </c>
      <c r="K27" s="138">
        <f>IF(I27/H27*100&gt;=100,100,IF(I27/H27*100&lt;100,I27/H27*100))</f>
        <v>100</v>
      </c>
      <c r="L27" s="138"/>
      <c r="M27" s="164" t="s">
        <v>1122</v>
      </c>
      <c r="N27" s="274"/>
      <c r="O27" s="274"/>
      <c r="Q27" s="130" t="s">
        <v>1035</v>
      </c>
      <c r="R27" s="130" t="s">
        <v>838</v>
      </c>
    </row>
    <row r="28" spans="1:18" ht="51" customHeight="1" x14ac:dyDescent="0.25">
      <c r="A28" s="325" t="s">
        <v>507</v>
      </c>
      <c r="B28" s="460" t="s">
        <v>508</v>
      </c>
      <c r="C28" s="460"/>
      <c r="D28" s="326">
        <v>0.5</v>
      </c>
      <c r="E28" s="327" t="s">
        <v>591</v>
      </c>
      <c r="F28" s="250">
        <v>10</v>
      </c>
      <c r="G28" s="164">
        <f>D28*F28</f>
        <v>5</v>
      </c>
      <c r="H28" s="254">
        <v>10</v>
      </c>
      <c r="I28" s="138">
        <f>H28/F28*100</f>
        <v>100</v>
      </c>
      <c r="J28" s="182" t="s">
        <v>586</v>
      </c>
      <c r="K28" s="100">
        <f>IF(H28/G28*100&gt;=100,100,IF(H28/G28*100&lt;100,H28/G28*100))</f>
        <v>100</v>
      </c>
      <c r="L28" s="138"/>
      <c r="M28" s="164" t="s">
        <v>1122</v>
      </c>
      <c r="N28" s="273"/>
      <c r="O28" s="273"/>
      <c r="Q28" s="130" t="s">
        <v>1036</v>
      </c>
      <c r="R28" s="130" t="s">
        <v>839</v>
      </c>
    </row>
    <row r="29" spans="1:18" ht="45" customHeight="1" x14ac:dyDescent="0.25">
      <c r="A29" s="325" t="s">
        <v>182</v>
      </c>
      <c r="B29" s="460" t="s">
        <v>509</v>
      </c>
      <c r="C29" s="460"/>
      <c r="D29" s="326">
        <v>0.5</v>
      </c>
      <c r="E29" s="327" t="s">
        <v>592</v>
      </c>
      <c r="F29" s="250">
        <v>24</v>
      </c>
      <c r="G29" s="164">
        <f>D29*F29</f>
        <v>12</v>
      </c>
      <c r="H29" s="254">
        <v>11</v>
      </c>
      <c r="I29" s="138">
        <f>H29/F29*100</f>
        <v>45.833333333333329</v>
      </c>
      <c r="J29" s="182" t="s">
        <v>586</v>
      </c>
      <c r="K29" s="100">
        <f>IF(H29/G29*100&gt;=100,100,IF(H29/G29*100&lt;100,H29/G29*100))</f>
        <v>91.666666666666657</v>
      </c>
      <c r="L29" s="138"/>
      <c r="M29" s="164" t="s">
        <v>1122</v>
      </c>
      <c r="N29" s="274"/>
      <c r="O29" s="274"/>
      <c r="Q29" s="130" t="s">
        <v>1037</v>
      </c>
      <c r="R29" s="130" t="s">
        <v>840</v>
      </c>
    </row>
    <row r="30" spans="1:18" ht="23.25" customHeight="1" x14ac:dyDescent="0.25">
      <c r="A30" s="459" t="s">
        <v>824</v>
      </c>
      <c r="B30" s="459"/>
      <c r="C30" s="459"/>
      <c r="D30" s="38"/>
      <c r="E30" s="190"/>
      <c r="F30" s="253"/>
      <c r="G30" s="189"/>
      <c r="H30" s="255"/>
      <c r="I30" s="231"/>
      <c r="J30" s="182"/>
      <c r="K30" s="126"/>
      <c r="L30" s="189"/>
      <c r="M30" s="297"/>
      <c r="N30" s="274"/>
      <c r="O30" s="274"/>
      <c r="Q30" s="130"/>
      <c r="R30" s="130"/>
    </row>
    <row r="31" spans="1:18" ht="66" customHeight="1" x14ac:dyDescent="0.25">
      <c r="A31" s="414" t="s">
        <v>510</v>
      </c>
      <c r="B31" s="414"/>
      <c r="C31" s="414"/>
      <c r="D31" s="414"/>
      <c r="E31" s="190"/>
      <c r="F31" s="250"/>
      <c r="G31" s="164"/>
      <c r="H31" s="254"/>
      <c r="I31" s="229"/>
      <c r="J31" s="182"/>
      <c r="K31" s="138"/>
      <c r="L31" s="183">
        <f>AVERAGE(K32:K34)</f>
        <v>100</v>
      </c>
      <c r="M31" s="297"/>
      <c r="N31" s="274"/>
      <c r="O31" s="274"/>
      <c r="Q31" s="130"/>
      <c r="R31" s="130"/>
    </row>
    <row r="32" spans="1:18" ht="78.75" customHeight="1" x14ac:dyDescent="0.25">
      <c r="A32" s="43" t="s">
        <v>168</v>
      </c>
      <c r="B32" s="410" t="s">
        <v>1109</v>
      </c>
      <c r="C32" s="410"/>
      <c r="D32" s="44">
        <v>0.25</v>
      </c>
      <c r="E32" s="324" t="s">
        <v>1129</v>
      </c>
      <c r="F32" s="250">
        <v>187</v>
      </c>
      <c r="G32" s="164">
        <f>D32*F32</f>
        <v>46.75</v>
      </c>
      <c r="H32" s="254">
        <v>72</v>
      </c>
      <c r="I32" s="138">
        <f>H32/F32*100</f>
        <v>38.502673796791441</v>
      </c>
      <c r="J32" s="182" t="s">
        <v>586</v>
      </c>
      <c r="K32" s="100">
        <f>IF(H32/G32*100&gt;=100,100,IF(H32/G32*100&lt;100,H32/G32*100))</f>
        <v>100</v>
      </c>
      <c r="L32" s="138"/>
      <c r="M32" s="48" t="s">
        <v>1122</v>
      </c>
      <c r="N32" s="273"/>
      <c r="O32" s="273"/>
      <c r="Q32" s="130" t="s">
        <v>1038</v>
      </c>
      <c r="R32" s="130" t="s">
        <v>841</v>
      </c>
    </row>
    <row r="33" spans="1:18" ht="62.25" customHeight="1" x14ac:dyDescent="0.25">
      <c r="A33" s="43">
        <v>2</v>
      </c>
      <c r="B33" s="410" t="s">
        <v>511</v>
      </c>
      <c r="C33" s="410"/>
      <c r="D33" s="44">
        <v>0.25</v>
      </c>
      <c r="E33" s="324" t="s">
        <v>588</v>
      </c>
      <c r="F33" s="250">
        <v>9</v>
      </c>
      <c r="G33" s="164">
        <f>D33*F33</f>
        <v>2.25</v>
      </c>
      <c r="H33" s="254">
        <v>9</v>
      </c>
      <c r="I33" s="138">
        <f>H33/F33*100</f>
        <v>100</v>
      </c>
      <c r="J33" s="182" t="s">
        <v>586</v>
      </c>
      <c r="K33" s="100">
        <f>IF(H33/G33*100&gt;=100,100,IF(H33/G33*100&lt;100,H33/G33*100))</f>
        <v>100</v>
      </c>
      <c r="L33" s="189"/>
      <c r="M33" s="48" t="s">
        <v>1122</v>
      </c>
      <c r="N33" s="273"/>
      <c r="O33" s="273"/>
      <c r="Q33" s="130" t="s">
        <v>1039</v>
      </c>
      <c r="R33" s="130" t="s">
        <v>842</v>
      </c>
    </row>
    <row r="34" spans="1:18" ht="48" customHeight="1" x14ac:dyDescent="0.25">
      <c r="A34" s="43">
        <v>3</v>
      </c>
      <c r="B34" s="411" t="s">
        <v>512</v>
      </c>
      <c r="C34" s="411"/>
      <c r="D34" s="44">
        <v>0.25</v>
      </c>
      <c r="E34" s="324" t="s">
        <v>247</v>
      </c>
      <c r="F34" s="250">
        <v>377</v>
      </c>
      <c r="G34" s="164">
        <f>D34*F34</f>
        <v>94.25</v>
      </c>
      <c r="H34" s="254">
        <v>294</v>
      </c>
      <c r="I34" s="138">
        <f>H34/F34*100</f>
        <v>77.984084880636601</v>
      </c>
      <c r="J34" s="182" t="s">
        <v>586</v>
      </c>
      <c r="K34" s="100">
        <f>IF(H34/G34*100&gt;=100,100,IF(H34/G34*100&lt;100,H34/G34*100))</f>
        <v>100</v>
      </c>
      <c r="L34" s="189"/>
      <c r="M34" s="48" t="s">
        <v>1122</v>
      </c>
      <c r="N34" s="273"/>
      <c r="O34" s="273"/>
      <c r="Q34" s="130" t="s">
        <v>1040</v>
      </c>
      <c r="R34" s="130" t="s">
        <v>843</v>
      </c>
    </row>
    <row r="35" spans="1:18" ht="15.75" x14ac:dyDescent="0.25">
      <c r="A35" s="191"/>
      <c r="B35" s="191"/>
      <c r="C35" s="191"/>
      <c r="D35" s="192"/>
      <c r="E35" s="191"/>
    </row>
    <row r="36" spans="1:18" ht="15.6" customHeight="1" x14ac:dyDescent="0.25">
      <c r="A36" s="184"/>
      <c r="B36" s="92"/>
      <c r="C36" s="94" t="s">
        <v>566</v>
      </c>
      <c r="D36" s="95"/>
      <c r="F36" s="188"/>
      <c r="G36" s="188"/>
      <c r="H36" s="188"/>
      <c r="I36" s="145"/>
      <c r="J36" s="145"/>
      <c r="K36" s="145"/>
      <c r="L36" s="188"/>
      <c r="M36" s="295"/>
    </row>
    <row r="37" spans="1:18" ht="30" x14ac:dyDescent="0.25">
      <c r="A37" s="184"/>
      <c r="B37" s="89"/>
      <c r="C37" s="89" t="s">
        <v>337</v>
      </c>
      <c r="D37" s="86" t="s">
        <v>564</v>
      </c>
      <c r="F37" s="188"/>
      <c r="G37" s="188"/>
      <c r="H37" s="188"/>
      <c r="I37" s="145"/>
      <c r="J37" s="145"/>
      <c r="K37" s="145"/>
      <c r="L37" s="188"/>
      <c r="M37" s="295"/>
    </row>
    <row r="38" spans="1:18" ht="30.75" x14ac:dyDescent="0.25">
      <c r="A38" s="184"/>
      <c r="B38" s="89"/>
      <c r="C38" s="89" t="s">
        <v>339</v>
      </c>
      <c r="D38" s="88" t="s">
        <v>340</v>
      </c>
      <c r="F38" s="188"/>
      <c r="G38" s="188"/>
      <c r="H38" s="188"/>
      <c r="I38" s="145"/>
      <c r="J38" s="145"/>
      <c r="K38" s="145"/>
    </row>
    <row r="39" spans="1:18" ht="36" customHeight="1" x14ac:dyDescent="0.25">
      <c r="A39" s="153"/>
      <c r="B39" s="89"/>
      <c r="C39" s="89" t="s">
        <v>341</v>
      </c>
      <c r="D39" s="86" t="s">
        <v>565</v>
      </c>
      <c r="F39" s="194"/>
      <c r="G39" s="194"/>
      <c r="H39" s="194"/>
      <c r="I39" s="153"/>
      <c r="J39" s="153"/>
      <c r="K39" s="153"/>
      <c r="L39" s="194"/>
    </row>
    <row r="40" spans="1:18" ht="45.75" x14ac:dyDescent="0.25">
      <c r="A40" s="90" t="s">
        <v>343</v>
      </c>
      <c r="B40" s="417" t="s">
        <v>344</v>
      </c>
      <c r="C40" s="418"/>
      <c r="D40" s="171"/>
      <c r="E40" s="172"/>
      <c r="F40" s="172"/>
      <c r="G40" s="173"/>
      <c r="H40" s="173"/>
      <c r="I40" s="173"/>
      <c r="J40" s="173"/>
      <c r="K40" s="173"/>
      <c r="L40" s="188"/>
      <c r="M40" s="299"/>
    </row>
    <row r="41" spans="1:18" ht="15.75" x14ac:dyDescent="0.25">
      <c r="A41" s="88">
        <v>2</v>
      </c>
      <c r="B41" s="57" t="s">
        <v>345</v>
      </c>
      <c r="C41" s="57"/>
      <c r="D41" s="57"/>
      <c r="E41" s="57"/>
      <c r="F41" s="65"/>
      <c r="G41" s="65"/>
      <c r="H41" s="65"/>
      <c r="I41" s="57"/>
      <c r="J41" s="57"/>
      <c r="K41" s="57"/>
      <c r="L41" s="65"/>
      <c r="M41" s="300"/>
      <c r="N41" s="305"/>
    </row>
    <row r="42" spans="1:18" ht="15.75" x14ac:dyDescent="0.25">
      <c r="A42" s="88"/>
      <c r="B42" s="57" t="s">
        <v>346</v>
      </c>
      <c r="C42" s="57"/>
      <c r="D42" s="57"/>
      <c r="E42" s="57"/>
      <c r="F42" s="65"/>
      <c r="G42" s="65"/>
      <c r="H42" s="65"/>
      <c r="I42" s="57"/>
      <c r="J42" s="57"/>
      <c r="K42" s="57"/>
      <c r="L42" s="65"/>
      <c r="M42" s="300"/>
      <c r="N42" s="305"/>
    </row>
    <row r="43" spans="1:18" ht="15.75" x14ac:dyDescent="0.25">
      <c r="A43" s="88"/>
      <c r="B43" s="57" t="s">
        <v>347</v>
      </c>
      <c r="C43" s="57"/>
      <c r="D43" s="57"/>
      <c r="E43" s="57"/>
      <c r="F43" s="65"/>
      <c r="G43" s="65"/>
      <c r="H43" s="65"/>
      <c r="I43" s="57"/>
      <c r="J43" s="57"/>
      <c r="K43" s="57"/>
      <c r="L43" s="65"/>
      <c r="M43" s="300"/>
      <c r="N43" s="305"/>
    </row>
    <row r="44" spans="1:18" ht="15.75" x14ac:dyDescent="0.25">
      <c r="A44" s="88"/>
      <c r="B44" s="446" t="s">
        <v>348</v>
      </c>
      <c r="C44" s="447"/>
      <c r="D44" s="447"/>
      <c r="E44" s="447"/>
      <c r="F44" s="447"/>
      <c r="G44" s="447"/>
      <c r="H44" s="447"/>
      <c r="I44" s="447"/>
      <c r="J44" s="447"/>
      <c r="K44" s="447"/>
      <c r="L44" s="447"/>
      <c r="M44" s="447"/>
      <c r="N44" s="447"/>
    </row>
    <row r="45" spans="1:18" ht="15.75" x14ac:dyDescent="0.25">
      <c r="A45" s="88">
        <v>3</v>
      </c>
      <c r="B45" s="57" t="s">
        <v>490</v>
      </c>
      <c r="C45" s="57"/>
      <c r="D45" s="57"/>
      <c r="E45" s="57"/>
      <c r="F45" s="65"/>
      <c r="G45" s="65"/>
      <c r="H45" s="65"/>
      <c r="I45" s="57"/>
      <c r="J45" s="57"/>
      <c r="K45" s="57"/>
      <c r="L45" s="65"/>
      <c r="M45" s="300"/>
      <c r="N45" s="305"/>
    </row>
    <row r="46" spans="1:18" ht="15.75" x14ac:dyDescent="0.25">
      <c r="A46" s="88">
        <v>4</v>
      </c>
      <c r="B46" s="59" t="s">
        <v>349</v>
      </c>
      <c r="C46" s="59"/>
      <c r="D46" s="59"/>
      <c r="E46" s="59"/>
      <c r="F46" s="65"/>
      <c r="G46" s="65"/>
      <c r="H46" s="65"/>
      <c r="I46" s="65"/>
      <c r="J46" s="65"/>
      <c r="K46" s="65"/>
      <c r="L46" s="65"/>
      <c r="M46" s="300"/>
      <c r="N46" s="305"/>
    </row>
    <row r="47" spans="1:18" ht="15.75" x14ac:dyDescent="0.25">
      <c r="A47" s="88">
        <v>5</v>
      </c>
      <c r="B47" s="59" t="s">
        <v>350</v>
      </c>
      <c r="C47" s="59"/>
      <c r="D47" s="59"/>
      <c r="E47" s="59"/>
      <c r="F47" s="65"/>
      <c r="G47" s="65"/>
      <c r="H47" s="65"/>
      <c r="I47" s="65"/>
      <c r="J47" s="65"/>
      <c r="K47" s="65"/>
      <c r="L47" s="65"/>
      <c r="M47" s="300"/>
      <c r="N47" s="305"/>
    </row>
    <row r="48" spans="1:18" ht="15.75" x14ac:dyDescent="0.25">
      <c r="A48" s="88">
        <v>6</v>
      </c>
      <c r="B48" s="57" t="s">
        <v>567</v>
      </c>
      <c r="C48" s="57"/>
      <c r="D48" s="57"/>
      <c r="E48" s="57"/>
      <c r="F48" s="65"/>
      <c r="G48" s="65"/>
      <c r="H48" s="65"/>
      <c r="I48" s="57"/>
      <c r="J48" s="57"/>
      <c r="K48" s="57"/>
      <c r="L48" s="102"/>
      <c r="M48" s="301"/>
      <c r="N48" s="305"/>
    </row>
    <row r="49" spans="1:14" ht="15.75" x14ac:dyDescent="0.25">
      <c r="A49" s="88">
        <v>7</v>
      </c>
      <c r="B49" s="57" t="s">
        <v>351</v>
      </c>
      <c r="C49" s="195"/>
      <c r="D49" s="195"/>
      <c r="E49" s="195"/>
      <c r="F49" s="102"/>
      <c r="G49" s="102"/>
      <c r="H49" s="102"/>
      <c r="I49" s="195"/>
      <c r="J49" s="195"/>
      <c r="K49" s="195"/>
      <c r="L49" s="102"/>
      <c r="M49" s="301"/>
      <c r="N49" s="305"/>
    </row>
    <row r="50" spans="1:14" ht="15.75" x14ac:dyDescent="0.25">
      <c r="A50" s="88">
        <v>8</v>
      </c>
      <c r="B50" s="57" t="s">
        <v>352</v>
      </c>
      <c r="C50" s="195"/>
      <c r="D50" s="195"/>
      <c r="E50" s="195"/>
      <c r="F50" s="102"/>
      <c r="G50" s="102"/>
      <c r="H50" s="102"/>
      <c r="I50" s="195"/>
      <c r="J50" s="195"/>
      <c r="K50" s="195"/>
      <c r="L50" s="102"/>
      <c r="M50" s="301"/>
      <c r="N50" s="305"/>
    </row>
    <row r="51" spans="1:14" ht="30.75" x14ac:dyDescent="0.25">
      <c r="A51" s="187" t="s">
        <v>353</v>
      </c>
      <c r="B51" s="57" t="s">
        <v>354</v>
      </c>
      <c r="C51" s="195"/>
      <c r="D51" s="195"/>
      <c r="E51" s="195"/>
      <c r="F51" s="102"/>
      <c r="G51" s="102"/>
      <c r="H51" s="102"/>
      <c r="I51" s="195"/>
      <c r="J51" s="195"/>
      <c r="K51" s="195"/>
      <c r="L51" s="102"/>
      <c r="M51" s="301"/>
      <c r="N51" s="305"/>
    </row>
    <row r="52" spans="1:14" ht="15.75" x14ac:dyDescent="0.25">
      <c r="A52" s="88">
        <v>9</v>
      </c>
      <c r="B52" s="57" t="s">
        <v>355</v>
      </c>
      <c r="C52" s="195"/>
      <c r="D52" s="195"/>
      <c r="E52" s="195"/>
      <c r="F52" s="102"/>
      <c r="G52" s="102"/>
      <c r="H52" s="102"/>
      <c r="I52" s="195"/>
      <c r="J52" s="195"/>
      <c r="K52" s="195"/>
      <c r="L52" s="102"/>
      <c r="M52" s="301"/>
      <c r="N52" s="305"/>
    </row>
    <row r="53" spans="1:14" ht="15.75" x14ac:dyDescent="0.25">
      <c r="A53" s="88">
        <v>10</v>
      </c>
      <c r="B53" s="57" t="s">
        <v>356</v>
      </c>
      <c r="C53" s="195"/>
      <c r="D53" s="195"/>
      <c r="E53" s="195"/>
      <c r="F53" s="102"/>
      <c r="G53" s="102"/>
      <c r="H53" s="102"/>
      <c r="I53" s="195"/>
      <c r="J53" s="195"/>
      <c r="K53" s="195"/>
      <c r="L53" s="102"/>
      <c r="M53" s="301"/>
      <c r="N53" s="305"/>
    </row>
    <row r="54" spans="1:14" ht="15.75" x14ac:dyDescent="0.25">
      <c r="A54" s="88"/>
      <c r="B54" s="57" t="s">
        <v>357</v>
      </c>
      <c r="C54" s="195"/>
      <c r="D54" s="195"/>
      <c r="E54" s="195"/>
      <c r="F54" s="102"/>
      <c r="G54" s="102"/>
      <c r="H54" s="102"/>
      <c r="I54" s="195"/>
      <c r="J54" s="195"/>
      <c r="K54" s="195"/>
      <c r="L54" s="102"/>
      <c r="M54" s="301"/>
      <c r="N54" s="305"/>
    </row>
    <row r="55" spans="1:14" ht="15.75" x14ac:dyDescent="0.25">
      <c r="A55" s="88">
        <v>11</v>
      </c>
      <c r="B55" s="57" t="s">
        <v>358</v>
      </c>
      <c r="C55" s="195"/>
      <c r="D55" s="195"/>
      <c r="E55" s="195"/>
      <c r="F55" s="102"/>
      <c r="G55" s="102"/>
      <c r="H55" s="102"/>
      <c r="I55" s="195"/>
      <c r="J55" s="195"/>
      <c r="K55" s="195"/>
      <c r="L55" s="102"/>
      <c r="M55" s="301"/>
      <c r="N55" s="305"/>
    </row>
    <row r="56" spans="1:14" ht="15.75" x14ac:dyDescent="0.25">
      <c r="A56" s="88">
        <v>12</v>
      </c>
      <c r="B56" s="195" t="s">
        <v>568</v>
      </c>
      <c r="C56" s="195"/>
      <c r="D56" s="195"/>
      <c r="E56" s="195"/>
      <c r="F56" s="102"/>
      <c r="G56" s="102"/>
      <c r="H56" s="102"/>
      <c r="I56" s="195"/>
      <c r="J56" s="195"/>
      <c r="K56" s="195"/>
      <c r="L56" s="102"/>
      <c r="M56" s="301"/>
      <c r="N56" s="305"/>
    </row>
    <row r="57" spans="1:14" ht="15.75" x14ac:dyDescent="0.25">
      <c r="A57" s="88">
        <v>13</v>
      </c>
      <c r="B57" s="61" t="s">
        <v>359</v>
      </c>
      <c r="C57" s="196"/>
      <c r="D57" s="196"/>
      <c r="E57" s="196"/>
      <c r="F57" s="103"/>
      <c r="G57" s="102"/>
      <c r="H57" s="102"/>
      <c r="I57" s="195"/>
      <c r="J57" s="195"/>
      <c r="K57" s="195"/>
      <c r="L57" s="102"/>
      <c r="M57" s="302"/>
      <c r="N57" s="305"/>
    </row>
    <row r="58" spans="1:14" ht="15.75" x14ac:dyDescent="0.25">
      <c r="A58" s="88">
        <v>14</v>
      </c>
      <c r="B58" s="61" t="s">
        <v>360</v>
      </c>
      <c r="C58" s="196"/>
      <c r="D58" s="196"/>
      <c r="E58" s="196"/>
      <c r="F58" s="103"/>
      <c r="G58" s="102"/>
      <c r="H58" s="102"/>
      <c r="I58" s="195"/>
      <c r="J58" s="195"/>
      <c r="K58" s="195"/>
      <c r="L58" s="102"/>
      <c r="M58" s="302"/>
      <c r="N58" s="305"/>
    </row>
    <row r="59" spans="1:14" x14ac:dyDescent="0.25">
      <c r="B59"/>
      <c r="C59"/>
      <c r="D59"/>
      <c r="E59"/>
      <c r="F59" s="29"/>
      <c r="G59" s="29"/>
      <c r="H59" s="29"/>
      <c r="I59"/>
      <c r="J59"/>
      <c r="K59"/>
      <c r="L59" s="29"/>
      <c r="M59" s="303"/>
      <c r="N59" s="305"/>
    </row>
    <row r="60" spans="1:14" x14ac:dyDescent="0.25">
      <c r="B60"/>
      <c r="C60"/>
      <c r="D60"/>
      <c r="E60"/>
      <c r="F60" s="29"/>
      <c r="G60" s="29"/>
      <c r="H60" s="29"/>
      <c r="I60"/>
      <c r="J60"/>
      <c r="K60"/>
      <c r="L60" s="29"/>
      <c r="M60" s="303"/>
      <c r="N60" s="305"/>
    </row>
  </sheetData>
  <mergeCells count="45">
    <mergeCell ref="A26:C26"/>
    <mergeCell ref="B16:C16"/>
    <mergeCell ref="B19:C19"/>
    <mergeCell ref="B20:C20"/>
    <mergeCell ref="B24:C24"/>
    <mergeCell ref="B25:C25"/>
    <mergeCell ref="A21:C21"/>
    <mergeCell ref="B6:C6"/>
    <mergeCell ref="A7:C7"/>
    <mergeCell ref="B12:C12"/>
    <mergeCell ref="B22:C22"/>
    <mergeCell ref="B23:C23"/>
    <mergeCell ref="B14:C14"/>
    <mergeCell ref="A13:C13"/>
    <mergeCell ref="A8:C8"/>
    <mergeCell ref="B9:C9"/>
    <mergeCell ref="B10:C10"/>
    <mergeCell ref="B17:C17"/>
    <mergeCell ref="B18:C18"/>
    <mergeCell ref="A11:E11"/>
    <mergeCell ref="A15:E15"/>
    <mergeCell ref="B33:C33"/>
    <mergeCell ref="B34:C34"/>
    <mergeCell ref="A31:D31"/>
    <mergeCell ref="A30:C30"/>
    <mergeCell ref="B27:C27"/>
    <mergeCell ref="B28:C28"/>
    <mergeCell ref="B29:C29"/>
    <mergeCell ref="B32:C32"/>
    <mergeCell ref="B44:N44"/>
    <mergeCell ref="B40:C40"/>
    <mergeCell ref="A1:O1"/>
    <mergeCell ref="A2:O2"/>
    <mergeCell ref="A4:A5"/>
    <mergeCell ref="B4:C5"/>
    <mergeCell ref="D4:D5"/>
    <mergeCell ref="E4:E5"/>
    <mergeCell ref="F4:F5"/>
    <mergeCell ref="G4:G5"/>
    <mergeCell ref="H4:H5"/>
    <mergeCell ref="I4:I5"/>
    <mergeCell ref="J4:L4"/>
    <mergeCell ref="M4:M5"/>
    <mergeCell ref="N4:N5"/>
    <mergeCell ref="O4:O5"/>
  </mergeCells>
  <pageMargins left="0.35433070866141736" right="0.11811023622047245" top="0.55118110236220474" bottom="0.35433070866141736" header="0.31496062992125984" footer="0.31496062992125984"/>
  <pageSetup paperSize="14" scale="65" orientation="landscape" horizontalDpi="4294967293" verticalDpi="0" r:id="rId1"/>
  <rowBreaks count="2" manualBreakCount="2">
    <brk id="20" max="17" man="1"/>
    <brk id="34"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67"/>
  <sheetViews>
    <sheetView view="pageBreakPreview" topLeftCell="A21" zoomScale="60" zoomScaleNormal="89" workbookViewId="0">
      <selection activeCell="J28" sqref="J28"/>
    </sheetView>
  </sheetViews>
  <sheetFormatPr defaultColWidth="9.140625" defaultRowHeight="15" x14ac:dyDescent="0.2"/>
  <cols>
    <col min="1" max="1" width="7.140625" style="142" customWidth="1"/>
    <col min="2" max="2" width="31.7109375" style="142" customWidth="1"/>
    <col min="3" max="3" width="13" style="142" customWidth="1"/>
    <col min="4" max="4" width="10.7109375" style="142" customWidth="1"/>
    <col min="5" max="6" width="11.7109375" style="142" customWidth="1"/>
    <col min="7" max="7" width="12.85546875" style="142" customWidth="1"/>
    <col min="8" max="8" width="10.42578125" style="142" customWidth="1"/>
    <col min="9" max="9" width="10" style="142" customWidth="1"/>
    <col min="10" max="10" width="11" style="142" customWidth="1"/>
    <col min="11" max="11" width="10.5703125" style="142" customWidth="1"/>
    <col min="12" max="12" width="14.42578125" style="176" customWidth="1"/>
    <col min="13" max="13" width="33.42578125" style="177" customWidth="1"/>
    <col min="14" max="14" width="36.28515625" style="177" customWidth="1"/>
    <col min="15" max="15" width="9.140625" style="142"/>
    <col min="16" max="17" width="120.7109375" style="142" customWidth="1"/>
    <col min="18" max="16384" width="9.140625" style="142"/>
  </cols>
  <sheetData>
    <row r="1" spans="1:17" x14ac:dyDescent="0.2">
      <c r="A1" s="448" t="s">
        <v>548</v>
      </c>
      <c r="B1" s="470"/>
      <c r="C1" s="470"/>
      <c r="D1" s="470"/>
      <c r="E1" s="470"/>
      <c r="F1" s="470"/>
      <c r="G1" s="470"/>
      <c r="H1" s="470"/>
      <c r="I1" s="470"/>
      <c r="J1" s="470"/>
      <c r="K1" s="470"/>
      <c r="L1" s="470"/>
      <c r="M1" s="470"/>
      <c r="N1" s="470"/>
    </row>
    <row r="2" spans="1:17" x14ac:dyDescent="0.2">
      <c r="A2" s="76"/>
      <c r="B2" s="449" t="s">
        <v>1175</v>
      </c>
      <c r="C2" s="449"/>
      <c r="D2" s="449"/>
      <c r="E2" s="449"/>
      <c r="F2" s="449"/>
      <c r="G2" s="449"/>
      <c r="H2" s="449"/>
      <c r="I2" s="449"/>
      <c r="J2" s="449"/>
      <c r="K2" s="449"/>
      <c r="L2" s="449"/>
      <c r="M2" s="449"/>
      <c r="N2" s="76"/>
    </row>
    <row r="3" spans="1:17" ht="17.45" customHeight="1" x14ac:dyDescent="0.2">
      <c r="A3" s="133"/>
      <c r="B3" s="133"/>
      <c r="C3" s="74"/>
    </row>
    <row r="4" spans="1:17" ht="15" customHeight="1" x14ac:dyDescent="0.2">
      <c r="A4" s="405" t="s">
        <v>1</v>
      </c>
      <c r="B4" s="405" t="s">
        <v>1090</v>
      </c>
      <c r="C4" s="442" t="s">
        <v>1088</v>
      </c>
      <c r="D4" s="435" t="s">
        <v>198</v>
      </c>
      <c r="E4" s="435" t="s">
        <v>199</v>
      </c>
      <c r="F4" s="435" t="s">
        <v>200</v>
      </c>
      <c r="G4" s="435" t="s">
        <v>201</v>
      </c>
      <c r="H4" s="435" t="s">
        <v>202</v>
      </c>
      <c r="I4" s="435" t="s">
        <v>203</v>
      </c>
      <c r="J4" s="435"/>
      <c r="K4" s="435"/>
      <c r="L4" s="435" t="s">
        <v>204</v>
      </c>
      <c r="M4" s="435" t="s">
        <v>205</v>
      </c>
      <c r="N4" s="471" t="s">
        <v>206</v>
      </c>
    </row>
    <row r="5" spans="1:17" ht="30" customHeight="1" x14ac:dyDescent="0.2">
      <c r="A5" s="407"/>
      <c r="B5" s="407"/>
      <c r="C5" s="442"/>
      <c r="D5" s="435"/>
      <c r="E5" s="435"/>
      <c r="F5" s="435"/>
      <c r="G5" s="435"/>
      <c r="H5" s="435"/>
      <c r="I5" s="49" t="s">
        <v>207</v>
      </c>
      <c r="J5" s="49" t="s">
        <v>208</v>
      </c>
      <c r="K5" s="49" t="s">
        <v>209</v>
      </c>
      <c r="L5" s="435"/>
      <c r="M5" s="435"/>
      <c r="N5" s="472"/>
      <c r="P5" s="157" t="s">
        <v>3</v>
      </c>
      <c r="Q5" s="157" t="s">
        <v>362</v>
      </c>
    </row>
    <row r="6" spans="1:17" x14ac:dyDescent="0.2">
      <c r="A6" s="161" t="s">
        <v>9</v>
      </c>
      <c r="B6" s="161" t="s">
        <v>10</v>
      </c>
      <c r="C6" s="7" t="s">
        <v>11</v>
      </c>
      <c r="D6" s="7" t="s">
        <v>12</v>
      </c>
      <c r="E6" s="7" t="s">
        <v>13</v>
      </c>
      <c r="F6" s="7" t="s">
        <v>14</v>
      </c>
      <c r="G6" s="7" t="s">
        <v>15</v>
      </c>
      <c r="H6" s="7" t="s">
        <v>190</v>
      </c>
      <c r="I6" s="7" t="s">
        <v>210</v>
      </c>
      <c r="J6" s="7" t="s">
        <v>211</v>
      </c>
      <c r="K6" s="7" t="s">
        <v>212</v>
      </c>
      <c r="L6" s="7" t="s">
        <v>213</v>
      </c>
      <c r="M6" s="7" t="s">
        <v>214</v>
      </c>
      <c r="N6" s="7" t="s">
        <v>215</v>
      </c>
    </row>
    <row r="7" spans="1:17" ht="25.5" customHeight="1" x14ac:dyDescent="0.2">
      <c r="A7" s="178">
        <v>2.2999999999999998</v>
      </c>
      <c r="B7" s="163" t="s">
        <v>614</v>
      </c>
      <c r="C7" s="7"/>
      <c r="D7" s="7"/>
      <c r="E7" s="7"/>
      <c r="F7" s="7"/>
      <c r="G7" s="7"/>
      <c r="H7" s="7"/>
      <c r="I7" s="7"/>
      <c r="J7" s="7"/>
      <c r="K7" s="215">
        <f>(K8+K19+K21+K32)/4</f>
        <v>93.641665610850481</v>
      </c>
      <c r="L7" s="7"/>
      <c r="M7" s="7"/>
      <c r="N7" s="7"/>
    </row>
    <row r="8" spans="1:17" ht="37.5" customHeight="1" x14ac:dyDescent="0.2">
      <c r="A8" s="462" t="s">
        <v>514</v>
      </c>
      <c r="B8" s="462"/>
      <c r="C8" s="3"/>
      <c r="D8" s="179"/>
      <c r="E8" s="179"/>
      <c r="F8" s="180"/>
      <c r="G8" s="180"/>
      <c r="H8" s="165"/>
      <c r="I8" s="165"/>
      <c r="J8" s="165"/>
      <c r="K8" s="216">
        <f>AVERAGE(J9:J18)</f>
        <v>77.066662443401896</v>
      </c>
      <c r="L8" s="157"/>
      <c r="M8" s="135"/>
      <c r="N8" s="135"/>
    </row>
    <row r="9" spans="1:17" ht="37.5" customHeight="1" x14ac:dyDescent="0.2">
      <c r="A9" s="43" t="s">
        <v>168</v>
      </c>
      <c r="B9" s="3" t="s">
        <v>547</v>
      </c>
      <c r="C9" s="44" t="s">
        <v>515</v>
      </c>
      <c r="D9" s="48" t="s">
        <v>247</v>
      </c>
      <c r="E9" s="250">
        <v>144080</v>
      </c>
      <c r="F9" s="181">
        <f>15%*E9</f>
        <v>21612</v>
      </c>
      <c r="G9" s="181">
        <v>26191</v>
      </c>
      <c r="H9" s="138">
        <v>212.94</v>
      </c>
      <c r="I9" s="138"/>
      <c r="J9" s="100">
        <v>100</v>
      </c>
      <c r="K9" s="138"/>
      <c r="L9" s="164" t="s">
        <v>1122</v>
      </c>
      <c r="M9" s="135"/>
      <c r="N9" s="135"/>
      <c r="P9" s="139" t="s">
        <v>1041</v>
      </c>
      <c r="Q9" s="139" t="s">
        <v>848</v>
      </c>
    </row>
    <row r="10" spans="1:17" ht="43.5" customHeight="1" x14ac:dyDescent="0.2">
      <c r="A10" s="43" t="s">
        <v>516</v>
      </c>
      <c r="B10" s="3" t="s">
        <v>517</v>
      </c>
      <c r="C10" s="43" t="s">
        <v>518</v>
      </c>
      <c r="D10" s="48" t="s">
        <v>549</v>
      </c>
      <c r="E10" s="249">
        <v>1353</v>
      </c>
      <c r="F10" s="386">
        <f>2%*E10</f>
        <v>27.060000000000002</v>
      </c>
      <c r="G10" s="182">
        <v>9</v>
      </c>
      <c r="H10" s="387">
        <v>0.84</v>
      </c>
      <c r="I10" s="182" t="s">
        <v>586</v>
      </c>
      <c r="J10" s="100">
        <v>100</v>
      </c>
      <c r="K10" s="138"/>
      <c r="L10" s="164" t="s">
        <v>1122</v>
      </c>
      <c r="M10" s="135"/>
      <c r="N10" s="135"/>
      <c r="P10" s="139" t="s">
        <v>1042</v>
      </c>
      <c r="Q10" s="139" t="s">
        <v>849</v>
      </c>
    </row>
    <row r="11" spans="1:17" ht="48" customHeight="1" x14ac:dyDescent="0.2">
      <c r="A11" s="43" t="s">
        <v>182</v>
      </c>
      <c r="B11" s="3" t="s">
        <v>519</v>
      </c>
      <c r="C11" s="44" t="s">
        <v>520</v>
      </c>
      <c r="D11" s="48" t="s">
        <v>247</v>
      </c>
      <c r="E11" s="249">
        <v>0</v>
      </c>
      <c r="F11" s="181">
        <f>5%*E11</f>
        <v>0</v>
      </c>
      <c r="G11" s="181">
        <v>0</v>
      </c>
      <c r="H11" s="387">
        <v>5.84</v>
      </c>
      <c r="I11" s="182" t="s">
        <v>586</v>
      </c>
      <c r="J11" s="100">
        <v>100</v>
      </c>
      <c r="K11" s="138"/>
      <c r="L11" s="164" t="s">
        <v>1122</v>
      </c>
      <c r="M11" s="135"/>
      <c r="N11" s="135"/>
      <c r="P11" s="139" t="s">
        <v>1111</v>
      </c>
      <c r="Q11" s="139" t="s">
        <v>1110</v>
      </c>
    </row>
    <row r="12" spans="1:17" ht="71.25" customHeight="1" x14ac:dyDescent="0.2">
      <c r="A12" s="43" t="s">
        <v>271</v>
      </c>
      <c r="B12" s="3" t="s">
        <v>521</v>
      </c>
      <c r="C12" s="44">
        <v>1</v>
      </c>
      <c r="D12" s="48" t="s">
        <v>247</v>
      </c>
      <c r="E12" s="312">
        <v>8089</v>
      </c>
      <c r="F12" s="181">
        <f>C12*E12</f>
        <v>8089</v>
      </c>
      <c r="G12" s="181">
        <v>1960</v>
      </c>
      <c r="H12" s="138">
        <f t="shared" ref="H12:H18" si="0">G12/E12*100</f>
        <v>24.230436395104462</v>
      </c>
      <c r="I12" s="182" t="s">
        <v>586</v>
      </c>
      <c r="J12" s="100">
        <f t="shared" ref="J12:J18" si="1">IF(G12/F12*100&gt;=100,100,IF(G12/F12*100&lt;100,G12/F12*100))</f>
        <v>24.230436395104462</v>
      </c>
      <c r="K12" s="138"/>
      <c r="L12" s="164" t="s">
        <v>1128</v>
      </c>
      <c r="M12" s="313" t="s">
        <v>1149</v>
      </c>
      <c r="N12" s="313" t="s">
        <v>1174</v>
      </c>
      <c r="P12" s="139" t="s">
        <v>1043</v>
      </c>
      <c r="Q12" s="139" t="s">
        <v>850</v>
      </c>
    </row>
    <row r="13" spans="1:17" ht="74.25" customHeight="1" x14ac:dyDescent="0.2">
      <c r="A13" s="43" t="s">
        <v>457</v>
      </c>
      <c r="B13" s="3" t="s">
        <v>522</v>
      </c>
      <c r="C13" s="44">
        <v>1</v>
      </c>
      <c r="D13" s="48" t="s">
        <v>247</v>
      </c>
      <c r="E13" s="312">
        <v>758</v>
      </c>
      <c r="F13" s="181">
        <f t="shared" ref="F13:F18" si="2">C13*E13</f>
        <v>758</v>
      </c>
      <c r="G13" s="181">
        <v>821</v>
      </c>
      <c r="H13" s="138">
        <f t="shared" si="0"/>
        <v>108.31134564643799</v>
      </c>
      <c r="I13" s="182" t="s">
        <v>586</v>
      </c>
      <c r="J13" s="100">
        <f t="shared" si="1"/>
        <v>100</v>
      </c>
      <c r="K13" s="138"/>
      <c r="L13" s="164" t="s">
        <v>1122</v>
      </c>
      <c r="M13" s="313"/>
      <c r="N13" s="313"/>
      <c r="P13" s="139" t="s">
        <v>1044</v>
      </c>
      <c r="Q13" s="139" t="s">
        <v>851</v>
      </c>
    </row>
    <row r="14" spans="1:17" ht="60" customHeight="1" x14ac:dyDescent="0.2">
      <c r="A14" s="43" t="s">
        <v>420</v>
      </c>
      <c r="B14" s="3" t="s">
        <v>847</v>
      </c>
      <c r="C14" s="44">
        <v>0.63</v>
      </c>
      <c r="D14" s="48" t="s">
        <v>551</v>
      </c>
      <c r="E14" s="312">
        <v>1892</v>
      </c>
      <c r="F14" s="181">
        <f t="shared" si="2"/>
        <v>1191.96</v>
      </c>
      <c r="G14" s="181">
        <v>278</v>
      </c>
      <c r="H14" s="138">
        <f>F14/G14</f>
        <v>4.2876258992805756</v>
      </c>
      <c r="I14" s="314" t="s">
        <v>586</v>
      </c>
      <c r="J14" s="100">
        <f>IF(H14&gt;1,100,IF(H14&gt;0.75,75,IF(H14&gt;0.5,50,IF(H14&gt;0.25,25,0))))</f>
        <v>100</v>
      </c>
      <c r="K14" s="138"/>
      <c r="L14" s="164" t="s">
        <v>1122</v>
      </c>
      <c r="M14" s="313"/>
      <c r="N14" s="313"/>
      <c r="P14" s="139" t="s">
        <v>1045</v>
      </c>
      <c r="Q14" s="139" t="s">
        <v>852</v>
      </c>
    </row>
    <row r="15" spans="1:17" ht="67.5" customHeight="1" x14ac:dyDescent="0.2">
      <c r="A15" s="43" t="s">
        <v>323</v>
      </c>
      <c r="B15" s="3" t="s">
        <v>846</v>
      </c>
      <c r="C15" s="44">
        <v>0.57999999999999996</v>
      </c>
      <c r="D15" s="48" t="s">
        <v>247</v>
      </c>
      <c r="E15" s="312">
        <v>758</v>
      </c>
      <c r="F15" s="181">
        <f>C15*E15</f>
        <v>439.64</v>
      </c>
      <c r="G15" s="181">
        <v>101</v>
      </c>
      <c r="H15" s="138">
        <f>G15/E15*100</f>
        <v>13.324538258575197</v>
      </c>
      <c r="I15" s="314" t="s">
        <v>586</v>
      </c>
      <c r="J15" s="100">
        <f>IF(G15/F15*100&gt;=100,100,IF(G15/F15*100&lt;100,G15/F15*100))</f>
        <v>22.973341825129655</v>
      </c>
      <c r="K15" s="138"/>
      <c r="L15" s="48" t="s">
        <v>1131</v>
      </c>
      <c r="M15" s="313" t="s">
        <v>1149</v>
      </c>
      <c r="N15" s="313" t="s">
        <v>1174</v>
      </c>
      <c r="P15" s="139" t="s">
        <v>1046</v>
      </c>
      <c r="Q15" s="139" t="s">
        <v>853</v>
      </c>
    </row>
    <row r="16" spans="1:17" ht="57" customHeight="1" x14ac:dyDescent="0.2">
      <c r="A16" s="43" t="s">
        <v>844</v>
      </c>
      <c r="B16" s="3" t="s">
        <v>524</v>
      </c>
      <c r="C16" s="44" t="s">
        <v>525</v>
      </c>
      <c r="D16" s="48" t="s">
        <v>551</v>
      </c>
      <c r="E16" s="249">
        <v>19</v>
      </c>
      <c r="F16" s="181">
        <f>E16</f>
        <v>19</v>
      </c>
      <c r="G16" s="181">
        <v>75</v>
      </c>
      <c r="H16" s="138">
        <f>F16/G16</f>
        <v>0.25333333333333335</v>
      </c>
      <c r="I16" s="314" t="s">
        <v>586</v>
      </c>
      <c r="J16" s="100">
        <f>IF(H16&gt;1,100,IF(H16&gt;0.75,75,IF(H16&gt;0.5,50,IF(H16&gt;0.25,25,0))))</f>
        <v>25</v>
      </c>
      <c r="K16" s="138"/>
      <c r="L16" s="164" t="s">
        <v>1122</v>
      </c>
      <c r="M16" s="135"/>
      <c r="N16" s="135"/>
      <c r="P16" s="139" t="s">
        <v>1047</v>
      </c>
      <c r="Q16" s="139" t="s">
        <v>854</v>
      </c>
    </row>
    <row r="17" spans="1:17" ht="44.25" customHeight="1" x14ac:dyDescent="0.2">
      <c r="A17" s="43" t="s">
        <v>756</v>
      </c>
      <c r="B17" s="3" t="s">
        <v>526</v>
      </c>
      <c r="C17" s="44">
        <v>1</v>
      </c>
      <c r="D17" s="48" t="s">
        <v>280</v>
      </c>
      <c r="E17" s="249">
        <v>319</v>
      </c>
      <c r="F17" s="181">
        <f>C17*E17</f>
        <v>319</v>
      </c>
      <c r="G17" s="181">
        <v>319</v>
      </c>
      <c r="H17" s="138">
        <f>G17/E17*100</f>
        <v>100</v>
      </c>
      <c r="I17" s="314" t="s">
        <v>586</v>
      </c>
      <c r="J17" s="100">
        <f>IF(G17/F17*100&gt;=100,100,IF(G17/F17*100&lt;100,G17/F17*100))</f>
        <v>100</v>
      </c>
      <c r="K17" s="138"/>
      <c r="L17" s="164" t="s">
        <v>1122</v>
      </c>
      <c r="M17" s="135"/>
      <c r="N17" s="139"/>
      <c r="P17" s="139" t="s">
        <v>1048</v>
      </c>
      <c r="Q17" s="139" t="s">
        <v>855</v>
      </c>
    </row>
    <row r="18" spans="1:17" ht="111" customHeight="1" x14ac:dyDescent="0.2">
      <c r="A18" s="43" t="s">
        <v>845</v>
      </c>
      <c r="B18" s="3" t="s">
        <v>523</v>
      </c>
      <c r="C18" s="44">
        <v>1</v>
      </c>
      <c r="D18" s="48" t="s">
        <v>550</v>
      </c>
      <c r="E18" s="249">
        <v>14117</v>
      </c>
      <c r="F18" s="181">
        <f t="shared" si="2"/>
        <v>14117</v>
      </c>
      <c r="G18" s="181">
        <v>13900</v>
      </c>
      <c r="H18" s="138">
        <f t="shared" si="0"/>
        <v>98.4628462137848</v>
      </c>
      <c r="I18" s="314" t="s">
        <v>586</v>
      </c>
      <c r="J18" s="100">
        <f t="shared" si="1"/>
        <v>98.4628462137848</v>
      </c>
      <c r="K18" s="138"/>
      <c r="L18" s="164" t="s">
        <v>1131</v>
      </c>
      <c r="M18" s="315" t="s">
        <v>1204</v>
      </c>
      <c r="N18" s="130" t="s">
        <v>1205</v>
      </c>
      <c r="P18" s="139" t="s">
        <v>1049</v>
      </c>
      <c r="Q18" s="139" t="s">
        <v>856</v>
      </c>
    </row>
    <row r="19" spans="1:17" ht="36.75" customHeight="1" x14ac:dyDescent="0.2">
      <c r="A19" s="414" t="s">
        <v>527</v>
      </c>
      <c r="B19" s="414"/>
      <c r="C19" s="43"/>
      <c r="D19" s="164"/>
      <c r="E19" s="249"/>
      <c r="F19" s="181"/>
      <c r="G19" s="181"/>
      <c r="H19" s="138"/>
      <c r="I19" s="138"/>
      <c r="J19" s="138"/>
      <c r="K19" s="183">
        <f>AVERAGE(J20)</f>
        <v>100</v>
      </c>
      <c r="L19" s="228"/>
      <c r="M19" s="135"/>
      <c r="N19" s="135"/>
      <c r="P19" s="139"/>
      <c r="Q19" s="139"/>
    </row>
    <row r="20" spans="1:17" ht="50.25" customHeight="1" x14ac:dyDescent="0.2">
      <c r="A20" s="43">
        <v>1</v>
      </c>
      <c r="B20" s="3" t="s">
        <v>528</v>
      </c>
      <c r="C20" s="44">
        <v>1</v>
      </c>
      <c r="D20" s="164" t="s">
        <v>550</v>
      </c>
      <c r="E20" s="249">
        <v>500</v>
      </c>
      <c r="F20" s="181">
        <f>C20*E20</f>
        <v>500</v>
      </c>
      <c r="G20" s="181">
        <v>500</v>
      </c>
      <c r="H20" s="138">
        <f>G20/E20*100</f>
        <v>100</v>
      </c>
      <c r="I20" s="182" t="s">
        <v>586</v>
      </c>
      <c r="J20" s="100">
        <f>IF(G20/F20*100&gt;=100,100,IF(G20/F20*100&lt;100,G20/F20*100))</f>
        <v>100</v>
      </c>
      <c r="K20" s="138"/>
      <c r="L20" s="164" t="s">
        <v>1122</v>
      </c>
      <c r="M20" s="135"/>
      <c r="N20" s="135"/>
      <c r="P20" s="139" t="s">
        <v>1050</v>
      </c>
      <c r="Q20" s="139" t="s">
        <v>857</v>
      </c>
    </row>
    <row r="21" spans="1:17" ht="30.75" customHeight="1" x14ac:dyDescent="0.2">
      <c r="A21" s="467" t="s">
        <v>529</v>
      </c>
      <c r="B21" s="468"/>
      <c r="C21" s="468"/>
      <c r="D21" s="469"/>
      <c r="E21" s="232"/>
      <c r="F21" s="181"/>
      <c r="G21" s="232"/>
      <c r="H21" s="229"/>
      <c r="I21" s="138"/>
      <c r="J21" s="138"/>
      <c r="K21" s="183">
        <f>AVERAGE(J22:J31)</f>
        <v>97.5</v>
      </c>
      <c r="L21" s="228"/>
      <c r="M21" s="135"/>
      <c r="N21" s="135"/>
      <c r="P21" s="139"/>
      <c r="Q21" s="139"/>
    </row>
    <row r="22" spans="1:17" ht="45" customHeight="1" x14ac:dyDescent="0.2">
      <c r="A22" s="43" t="s">
        <v>168</v>
      </c>
      <c r="B22" s="3" t="s">
        <v>530</v>
      </c>
      <c r="C22" s="44">
        <v>0.8</v>
      </c>
      <c r="D22" s="316" t="s">
        <v>593</v>
      </c>
      <c r="E22" s="249">
        <v>141</v>
      </c>
      <c r="F22" s="181">
        <f t="shared" ref="F22:F31" si="3">C22*E22</f>
        <v>112.80000000000001</v>
      </c>
      <c r="G22" s="181">
        <v>138.16666666666666</v>
      </c>
      <c r="H22" s="138">
        <f t="shared" ref="H22:H31" si="4">G22/E22*100</f>
        <v>97.990543735224577</v>
      </c>
      <c r="I22" s="182" t="s">
        <v>586</v>
      </c>
      <c r="J22" s="100">
        <f>IF(G22/F22*100&gt;=100,100,IF(G22/F22*100&lt;100,G22/F22*100))</f>
        <v>100</v>
      </c>
      <c r="K22" s="138"/>
      <c r="L22" s="164" t="s">
        <v>1122</v>
      </c>
      <c r="M22" s="135"/>
      <c r="N22" s="135"/>
      <c r="P22" s="139" t="s">
        <v>1051</v>
      </c>
      <c r="Q22" s="139" t="s">
        <v>862</v>
      </c>
    </row>
    <row r="23" spans="1:17" ht="60" customHeight="1" x14ac:dyDescent="0.2">
      <c r="A23" s="43" t="s">
        <v>531</v>
      </c>
      <c r="B23" s="3" t="s">
        <v>858</v>
      </c>
      <c r="C23" s="44">
        <v>0.85</v>
      </c>
      <c r="D23" s="316" t="s">
        <v>594</v>
      </c>
      <c r="E23" s="249">
        <v>40</v>
      </c>
      <c r="F23" s="181">
        <f>C23*E23</f>
        <v>34</v>
      </c>
      <c r="G23" s="181">
        <v>38.416666666666664</v>
      </c>
      <c r="H23" s="138">
        <f>G23/E23*100</f>
        <v>96.041666666666657</v>
      </c>
      <c r="I23" s="182" t="s">
        <v>586</v>
      </c>
      <c r="J23" s="100">
        <f>IF(G23/F23*100&gt;=100,100,IF(G23/F23*100&lt;100,G23/F23*100))</f>
        <v>100</v>
      </c>
      <c r="K23" s="138"/>
      <c r="L23" s="164" t="s">
        <v>1122</v>
      </c>
      <c r="M23" s="135"/>
      <c r="N23" s="135"/>
      <c r="P23" s="139" t="s">
        <v>1052</v>
      </c>
      <c r="Q23" s="139" t="s">
        <v>863</v>
      </c>
    </row>
    <row r="24" spans="1:17" ht="60" customHeight="1" x14ac:dyDescent="0.2">
      <c r="A24" s="43" t="s">
        <v>861</v>
      </c>
      <c r="B24" s="3" t="s">
        <v>859</v>
      </c>
      <c r="C24" s="44">
        <v>1</v>
      </c>
      <c r="D24" s="316" t="s">
        <v>860</v>
      </c>
      <c r="E24" s="249">
        <v>5</v>
      </c>
      <c r="F24" s="181">
        <f t="shared" si="3"/>
        <v>5</v>
      </c>
      <c r="G24" s="181">
        <v>5</v>
      </c>
      <c r="H24" s="138">
        <f t="shared" si="4"/>
        <v>100</v>
      </c>
      <c r="I24" s="182" t="s">
        <v>586</v>
      </c>
      <c r="J24" s="100">
        <f>IF(G24/F24*100&gt;=100,100,IF(G24/F24*100&lt;100,G24/F24*100))</f>
        <v>100</v>
      </c>
      <c r="K24" s="138"/>
      <c r="L24" s="164" t="s">
        <v>1122</v>
      </c>
      <c r="M24" s="135"/>
      <c r="N24" s="135"/>
      <c r="P24" s="139" t="s">
        <v>1053</v>
      </c>
      <c r="Q24" s="139" t="s">
        <v>864</v>
      </c>
    </row>
    <row r="25" spans="1:17" ht="60.75" customHeight="1" x14ac:dyDescent="0.2">
      <c r="A25" s="43" t="s">
        <v>257</v>
      </c>
      <c r="B25" s="3" t="s">
        <v>532</v>
      </c>
      <c r="C25" s="44">
        <v>0.2</v>
      </c>
      <c r="D25" s="316" t="s">
        <v>595</v>
      </c>
      <c r="E25" s="249">
        <f>139+25+24+20+22+22+20</f>
        <v>272</v>
      </c>
      <c r="F25" s="181">
        <f t="shared" si="3"/>
        <v>54.400000000000006</v>
      </c>
      <c r="G25" s="181">
        <v>17</v>
      </c>
      <c r="H25" s="138">
        <f t="shared" si="4"/>
        <v>6.25</v>
      </c>
      <c r="I25" s="182" t="s">
        <v>586</v>
      </c>
      <c r="J25" s="100">
        <f>IF(H25&gt;80,0,IF(H25&gt;60,25,IF(H25&gt;40,50,IF(H25&gt;20,75,100))))</f>
        <v>100</v>
      </c>
      <c r="K25" s="138"/>
      <c r="L25" s="164" t="s">
        <v>1122</v>
      </c>
      <c r="M25" s="135"/>
      <c r="N25" s="135"/>
      <c r="P25" s="139" t="s">
        <v>1054</v>
      </c>
      <c r="Q25" s="139" t="s">
        <v>865</v>
      </c>
    </row>
    <row r="26" spans="1:17" ht="57" customHeight="1" x14ac:dyDescent="0.2">
      <c r="A26" s="43">
        <v>5</v>
      </c>
      <c r="B26" s="3" t="s">
        <v>533</v>
      </c>
      <c r="C26" s="44" t="s">
        <v>1117</v>
      </c>
      <c r="D26" s="316" t="s">
        <v>595</v>
      </c>
      <c r="E26" s="249">
        <f>66+15+13+12+10+10+13</f>
        <v>139</v>
      </c>
      <c r="F26" s="181">
        <v>14</v>
      </c>
      <c r="G26" s="181">
        <v>2</v>
      </c>
      <c r="H26" s="138">
        <f t="shared" si="4"/>
        <v>1.4388489208633095</v>
      </c>
      <c r="I26" s="182" t="s">
        <v>586</v>
      </c>
      <c r="J26" s="100">
        <f>IF(H26&gt;60,0,IF(H26&gt;40,25,IF(H26&gt;20,50,IF(H26&gt;9,75,100))))</f>
        <v>100</v>
      </c>
      <c r="K26" s="138"/>
      <c r="L26" s="164" t="s">
        <v>1122</v>
      </c>
      <c r="M26" s="135"/>
      <c r="N26" s="135"/>
      <c r="P26" s="139" t="s">
        <v>1055</v>
      </c>
      <c r="Q26" s="139" t="s">
        <v>866</v>
      </c>
    </row>
    <row r="27" spans="1:17" ht="51.75" customHeight="1" x14ac:dyDescent="0.2">
      <c r="A27" s="43" t="s">
        <v>322</v>
      </c>
      <c r="B27" s="3" t="s">
        <v>534</v>
      </c>
      <c r="C27" s="44" t="s">
        <v>1118</v>
      </c>
      <c r="D27" s="316" t="s">
        <v>595</v>
      </c>
      <c r="E27" s="249">
        <f>117+24+22+19+19+21+15</f>
        <v>237</v>
      </c>
      <c r="F27" s="181">
        <v>23</v>
      </c>
      <c r="G27" s="181">
        <v>0</v>
      </c>
      <c r="H27" s="138">
        <v>0</v>
      </c>
      <c r="I27" s="182" t="s">
        <v>586</v>
      </c>
      <c r="J27" s="100">
        <f>IF(H27&gt;30,0,IF(H27&gt;20,25,IF(H27&gt;10,50,IF(H27&gt;1,75,100))))</f>
        <v>100</v>
      </c>
      <c r="K27" s="138"/>
      <c r="L27" s="164" t="s">
        <v>1122</v>
      </c>
      <c r="M27" s="135"/>
      <c r="N27" s="135"/>
      <c r="P27" s="139" t="s">
        <v>1056</v>
      </c>
      <c r="Q27" s="139" t="s">
        <v>867</v>
      </c>
    </row>
    <row r="28" spans="1:17" ht="61.5" customHeight="1" x14ac:dyDescent="0.2">
      <c r="A28" s="43" t="s">
        <v>422</v>
      </c>
      <c r="B28" s="3" t="s">
        <v>535</v>
      </c>
      <c r="C28" s="317" t="s">
        <v>1119</v>
      </c>
      <c r="D28" s="318" t="s">
        <v>595</v>
      </c>
      <c r="E28" s="249">
        <f>322+64+59+51+51+53+48</f>
        <v>648</v>
      </c>
      <c r="F28" s="181">
        <v>61</v>
      </c>
      <c r="G28" s="181">
        <v>1844</v>
      </c>
      <c r="H28" s="138">
        <f>G28/E28</f>
        <v>2.8456790123456792</v>
      </c>
      <c r="I28" s="182" t="s">
        <v>586</v>
      </c>
      <c r="J28" s="100">
        <v>75</v>
      </c>
      <c r="K28" s="138"/>
      <c r="L28" s="164" t="s">
        <v>1131</v>
      </c>
      <c r="M28" s="319" t="s">
        <v>1202</v>
      </c>
      <c r="N28" s="319" t="s">
        <v>1203</v>
      </c>
      <c r="P28" s="139" t="s">
        <v>1057</v>
      </c>
      <c r="Q28" s="139" t="s">
        <v>868</v>
      </c>
    </row>
    <row r="29" spans="1:17" ht="57" customHeight="1" x14ac:dyDescent="0.2">
      <c r="A29" s="43">
        <v>8</v>
      </c>
      <c r="B29" s="3" t="s">
        <v>536</v>
      </c>
      <c r="C29" s="44">
        <v>0.8</v>
      </c>
      <c r="D29" s="316" t="s">
        <v>595</v>
      </c>
      <c r="E29" s="249">
        <v>5767</v>
      </c>
      <c r="F29" s="181">
        <f t="shared" si="3"/>
        <v>4613.6000000000004</v>
      </c>
      <c r="G29" s="181">
        <v>5338</v>
      </c>
      <c r="H29" s="138">
        <f t="shared" si="4"/>
        <v>92.561123634471997</v>
      </c>
      <c r="I29" s="314" t="s">
        <v>586</v>
      </c>
      <c r="J29" s="100">
        <f>IF(G29/F29*100&gt;=100,100,IF(G29/F29*100&lt;100,G29/F29*100))</f>
        <v>100</v>
      </c>
      <c r="K29" s="138"/>
      <c r="L29" s="164" t="s">
        <v>1122</v>
      </c>
      <c r="M29" s="135"/>
      <c r="N29" s="135"/>
      <c r="P29" s="139" t="s">
        <v>1058</v>
      </c>
      <c r="Q29" s="139" t="s">
        <v>869</v>
      </c>
    </row>
    <row r="30" spans="1:17" ht="45" customHeight="1" x14ac:dyDescent="0.2">
      <c r="A30" s="43">
        <v>9</v>
      </c>
      <c r="B30" s="3" t="s">
        <v>537</v>
      </c>
      <c r="C30" s="44">
        <v>0.05</v>
      </c>
      <c r="D30" s="164" t="s">
        <v>247</v>
      </c>
      <c r="E30" s="249">
        <f>34+3+3+47+39+4</f>
        <v>130</v>
      </c>
      <c r="F30" s="181">
        <f t="shared" si="3"/>
        <v>6.5</v>
      </c>
      <c r="G30" s="181">
        <v>31</v>
      </c>
      <c r="H30" s="138">
        <f t="shared" si="4"/>
        <v>23.846153846153847</v>
      </c>
      <c r="I30" s="314" t="s">
        <v>586</v>
      </c>
      <c r="J30" s="100">
        <f>IF(G30/F30*100&gt;=100,100,IF(G30/F30*100&lt;100,G30/F30*100))</f>
        <v>100</v>
      </c>
      <c r="K30" s="179"/>
      <c r="L30" s="164" t="s">
        <v>1122</v>
      </c>
      <c r="M30" s="135"/>
      <c r="N30" s="135"/>
      <c r="P30" s="139" t="s">
        <v>1059</v>
      </c>
      <c r="Q30" s="139" t="s">
        <v>870</v>
      </c>
    </row>
    <row r="31" spans="1:17" ht="60" customHeight="1" x14ac:dyDescent="0.2">
      <c r="A31" s="43">
        <v>10</v>
      </c>
      <c r="B31" s="3" t="s">
        <v>538</v>
      </c>
      <c r="C31" s="44">
        <v>0.8</v>
      </c>
      <c r="D31" s="157" t="s">
        <v>247</v>
      </c>
      <c r="E31" s="249">
        <f>212+4+48+25+25+36+5</f>
        <v>355</v>
      </c>
      <c r="F31" s="181">
        <f t="shared" si="3"/>
        <v>284</v>
      </c>
      <c r="G31" s="181">
        <v>350</v>
      </c>
      <c r="H31" s="138">
        <f t="shared" si="4"/>
        <v>98.591549295774655</v>
      </c>
      <c r="I31" s="314" t="s">
        <v>586</v>
      </c>
      <c r="J31" s="100">
        <f>IF(G31/F31*100&gt;=100,100,IF(G31/F31*100&lt;100,G31/F31*100))</f>
        <v>100</v>
      </c>
      <c r="K31" s="179"/>
      <c r="L31" s="164" t="s">
        <v>1122</v>
      </c>
      <c r="M31" s="135"/>
      <c r="N31" s="135"/>
      <c r="P31" s="139" t="s">
        <v>1060</v>
      </c>
      <c r="Q31" s="139" t="s">
        <v>871</v>
      </c>
    </row>
    <row r="32" spans="1:17" ht="30.75" customHeight="1" x14ac:dyDescent="0.2">
      <c r="A32" s="466" t="s">
        <v>539</v>
      </c>
      <c r="B32" s="466"/>
      <c r="C32" s="43"/>
      <c r="D32" s="164"/>
      <c r="E32" s="232"/>
      <c r="F32" s="181"/>
      <c r="G32" s="232"/>
      <c r="H32" s="138"/>
      <c r="I32" s="138"/>
      <c r="J32" s="138"/>
      <c r="K32" s="183">
        <f>AVERAGE(J33:J35)</f>
        <v>100</v>
      </c>
      <c r="L32" s="228"/>
      <c r="M32" s="135"/>
      <c r="N32" s="135"/>
      <c r="P32" s="139"/>
      <c r="Q32" s="139"/>
    </row>
    <row r="33" spans="1:17" ht="62.25" customHeight="1" x14ac:dyDescent="0.2">
      <c r="A33" s="320" t="s">
        <v>168</v>
      </c>
      <c r="B33" s="3" t="s">
        <v>540</v>
      </c>
      <c r="C33" s="44">
        <v>0.6</v>
      </c>
      <c r="D33" s="164" t="s">
        <v>596</v>
      </c>
      <c r="E33" s="321">
        <v>600</v>
      </c>
      <c r="F33" s="181">
        <f>C33*E33</f>
        <v>360</v>
      </c>
      <c r="G33" s="181">
        <v>432</v>
      </c>
      <c r="H33" s="138">
        <f>G33/E33*100</f>
        <v>72</v>
      </c>
      <c r="I33" s="314" t="s">
        <v>586</v>
      </c>
      <c r="J33" s="100">
        <f>IF(G33/F33*100&gt;=100,100,IF(G33/F33*100&lt;100,G33/F33*100))</f>
        <v>100</v>
      </c>
      <c r="K33" s="138"/>
      <c r="L33" s="164" t="s">
        <v>1122</v>
      </c>
      <c r="M33" s="135"/>
      <c r="N33" s="135"/>
      <c r="P33" s="139" t="s">
        <v>1061</v>
      </c>
      <c r="Q33" s="139" t="s">
        <v>872</v>
      </c>
    </row>
    <row r="34" spans="1:17" ht="60.75" customHeight="1" x14ac:dyDescent="0.2">
      <c r="A34" s="43" t="s">
        <v>219</v>
      </c>
      <c r="B34" s="3" t="s">
        <v>541</v>
      </c>
      <c r="C34" s="44">
        <v>1</v>
      </c>
      <c r="D34" s="164" t="s">
        <v>597</v>
      </c>
      <c r="E34" s="321">
        <v>1942</v>
      </c>
      <c r="F34" s="181">
        <f>C34*E34</f>
        <v>1942</v>
      </c>
      <c r="G34" s="181">
        <v>1942</v>
      </c>
      <c r="H34" s="138">
        <f>G34/E34*100</f>
        <v>100</v>
      </c>
      <c r="I34" s="314" t="s">
        <v>586</v>
      </c>
      <c r="J34" s="100">
        <f>IF(G34/F34*100&gt;=100,100,IF(G34/F34*100&lt;100,G34/F34*100))</f>
        <v>100</v>
      </c>
      <c r="K34" s="138"/>
      <c r="L34" s="164" t="s">
        <v>1122</v>
      </c>
      <c r="M34" s="135"/>
      <c r="N34" s="135"/>
      <c r="P34" s="139" t="s">
        <v>1062</v>
      </c>
      <c r="Q34" s="139" t="s">
        <v>873</v>
      </c>
    </row>
    <row r="35" spans="1:17" ht="47.25" customHeight="1" x14ac:dyDescent="0.2">
      <c r="A35" s="43" t="s">
        <v>182</v>
      </c>
      <c r="B35" s="3" t="s">
        <v>542</v>
      </c>
      <c r="C35" s="44">
        <v>1</v>
      </c>
      <c r="D35" s="164" t="s">
        <v>598</v>
      </c>
      <c r="E35" s="321">
        <v>60</v>
      </c>
      <c r="F35" s="181">
        <f>C35*E35</f>
        <v>60</v>
      </c>
      <c r="G35" s="181">
        <v>60</v>
      </c>
      <c r="H35" s="138">
        <f>G35/E35*100</f>
        <v>100</v>
      </c>
      <c r="I35" s="314" t="s">
        <v>586</v>
      </c>
      <c r="J35" s="100">
        <f>IF(G35/F35*100&gt;=100,100,IF(G35/F35*100&lt;100,G35/F35*100))</f>
        <v>100</v>
      </c>
      <c r="K35" s="138"/>
      <c r="L35" s="164" t="s">
        <v>1122</v>
      </c>
      <c r="M35" s="135"/>
      <c r="N35" s="135"/>
      <c r="P35" s="139" t="s">
        <v>1063</v>
      </c>
      <c r="Q35" s="139" t="s">
        <v>874</v>
      </c>
    </row>
    <row r="36" spans="1:17" ht="29.25" customHeight="1" x14ac:dyDescent="0.2">
      <c r="A36" s="414" t="s">
        <v>543</v>
      </c>
      <c r="B36" s="414"/>
      <c r="C36" s="43"/>
      <c r="D36" s="164"/>
      <c r="E36" s="181"/>
      <c r="F36" s="181"/>
      <c r="G36" s="181"/>
      <c r="H36" s="229"/>
      <c r="I36" s="138"/>
      <c r="J36" s="138"/>
      <c r="K36" s="183">
        <v>0</v>
      </c>
      <c r="L36" s="228"/>
      <c r="M36" s="135"/>
      <c r="N36" s="135"/>
      <c r="P36" s="139"/>
      <c r="Q36" s="139"/>
    </row>
    <row r="37" spans="1:17" ht="53.25" customHeight="1" x14ac:dyDescent="0.2">
      <c r="A37" s="43" t="s">
        <v>168</v>
      </c>
      <c r="B37" s="3" t="s">
        <v>544</v>
      </c>
      <c r="C37" s="44" t="s">
        <v>545</v>
      </c>
      <c r="D37" s="164" t="s">
        <v>599</v>
      </c>
      <c r="E37" s="181">
        <v>0</v>
      </c>
      <c r="F37" s="181">
        <f>60%*E37</f>
        <v>0</v>
      </c>
      <c r="G37" s="181">
        <v>0</v>
      </c>
      <c r="H37" s="138">
        <v>0</v>
      </c>
      <c r="I37" s="314" t="s">
        <v>586</v>
      </c>
      <c r="J37" s="138">
        <v>0</v>
      </c>
      <c r="K37" s="138"/>
      <c r="L37" s="164" t="s">
        <v>1132</v>
      </c>
      <c r="M37" s="139"/>
      <c r="N37" s="139"/>
      <c r="P37" s="139" t="s">
        <v>1064</v>
      </c>
      <c r="Q37" s="139" t="s">
        <v>875</v>
      </c>
    </row>
    <row r="38" spans="1:17" ht="60" customHeight="1" x14ac:dyDescent="0.2">
      <c r="A38" s="43" t="s">
        <v>219</v>
      </c>
      <c r="B38" s="3" t="s">
        <v>546</v>
      </c>
      <c r="C38" s="44">
        <v>1</v>
      </c>
      <c r="D38" s="164" t="s">
        <v>550</v>
      </c>
      <c r="E38" s="181">
        <v>0</v>
      </c>
      <c r="F38" s="181">
        <f>C38*E38</f>
        <v>0</v>
      </c>
      <c r="G38" s="181">
        <v>0</v>
      </c>
      <c r="H38" s="138">
        <v>0</v>
      </c>
      <c r="I38" s="322" t="s">
        <v>586</v>
      </c>
      <c r="J38" s="323">
        <v>0</v>
      </c>
      <c r="K38" s="138"/>
      <c r="L38" s="164" t="s">
        <v>1132</v>
      </c>
      <c r="M38" s="135"/>
      <c r="N38" s="135"/>
      <c r="P38" s="139" t="s">
        <v>1065</v>
      </c>
      <c r="Q38" s="139" t="s">
        <v>876</v>
      </c>
    </row>
    <row r="40" spans="1:17" ht="15.6" customHeight="1" x14ac:dyDescent="0.2">
      <c r="A40" s="184"/>
      <c r="B40" s="464" t="s">
        <v>566</v>
      </c>
      <c r="C40" s="465"/>
      <c r="D40" s="93"/>
      <c r="E40" s="153"/>
      <c r="F40" s="153"/>
      <c r="G40" s="153"/>
      <c r="H40" s="153"/>
      <c r="I40" s="153"/>
      <c r="J40" s="153"/>
      <c r="K40" s="153"/>
      <c r="L40" s="185"/>
      <c r="M40" s="186"/>
      <c r="O40" s="153"/>
      <c r="P40" s="153"/>
    </row>
    <row r="41" spans="1:17" ht="15.6" customHeight="1" x14ac:dyDescent="0.2">
      <c r="A41" s="184"/>
      <c r="B41" s="89" t="s">
        <v>337</v>
      </c>
      <c r="C41" s="86" t="s">
        <v>564</v>
      </c>
      <c r="E41" s="153"/>
      <c r="F41" s="153"/>
      <c r="G41" s="153"/>
      <c r="H41" s="153"/>
      <c r="I41" s="153"/>
      <c r="J41" s="153"/>
      <c r="K41" s="153"/>
      <c r="L41" s="185"/>
      <c r="M41" s="186"/>
      <c r="O41" s="153"/>
      <c r="P41" s="153"/>
    </row>
    <row r="42" spans="1:17" x14ac:dyDescent="0.2">
      <c r="A42" s="184"/>
      <c r="B42" s="89" t="s">
        <v>339</v>
      </c>
      <c r="C42" s="88" t="s">
        <v>340</v>
      </c>
      <c r="E42" s="153"/>
      <c r="F42" s="153"/>
      <c r="G42" s="153"/>
      <c r="H42" s="153"/>
      <c r="I42" s="153"/>
      <c r="J42" s="153"/>
      <c r="K42" s="153"/>
      <c r="L42" s="185"/>
      <c r="M42" s="186"/>
      <c r="O42" s="153"/>
      <c r="P42" s="153"/>
    </row>
    <row r="43" spans="1:17" ht="15.6" customHeight="1" x14ac:dyDescent="0.2">
      <c r="A43" s="153"/>
      <c r="B43" s="89" t="s">
        <v>341</v>
      </c>
      <c r="C43" s="86" t="s">
        <v>706</v>
      </c>
      <c r="E43" s="153"/>
      <c r="F43" s="153"/>
      <c r="G43" s="153"/>
      <c r="H43" s="153"/>
      <c r="I43" s="153"/>
      <c r="J43" s="153"/>
      <c r="K43" s="153"/>
      <c r="L43" s="185"/>
      <c r="M43" s="186"/>
      <c r="O43" s="153"/>
      <c r="P43" s="153"/>
    </row>
    <row r="44" spans="1:17" ht="30" x14ac:dyDescent="0.2">
      <c r="A44" s="90" t="s">
        <v>343</v>
      </c>
      <c r="B44" s="169" t="s">
        <v>344</v>
      </c>
      <c r="C44" s="170"/>
      <c r="D44" s="171"/>
      <c r="E44" s="172"/>
      <c r="F44" s="172"/>
      <c r="G44" s="173"/>
      <c r="H44" s="173"/>
      <c r="I44" s="173"/>
      <c r="J44" s="173"/>
      <c r="K44" s="173"/>
      <c r="L44" s="173"/>
      <c r="M44" s="173"/>
    </row>
    <row r="45" spans="1:17" x14ac:dyDescent="0.2">
      <c r="A45" s="88">
        <v>2</v>
      </c>
      <c r="B45" s="57" t="s">
        <v>345</v>
      </c>
      <c r="C45" s="57"/>
      <c r="D45" s="57"/>
      <c r="E45" s="57"/>
      <c r="F45" s="57"/>
      <c r="G45" s="57"/>
      <c r="H45" s="57"/>
      <c r="I45" s="57"/>
      <c r="J45" s="57"/>
      <c r="K45" s="57"/>
      <c r="L45" s="65"/>
      <c r="M45" s="57"/>
      <c r="N45" s="134"/>
    </row>
    <row r="46" spans="1:17" x14ac:dyDescent="0.2">
      <c r="A46" s="88"/>
      <c r="B46" s="57" t="s">
        <v>346</v>
      </c>
      <c r="C46" s="57"/>
      <c r="D46" s="57"/>
      <c r="E46" s="57"/>
      <c r="F46" s="57"/>
      <c r="G46" s="57"/>
      <c r="H46" s="57"/>
      <c r="I46" s="57"/>
      <c r="J46" s="57"/>
      <c r="K46" s="57"/>
      <c r="L46" s="65"/>
      <c r="M46" s="65"/>
      <c r="N46" s="134"/>
    </row>
    <row r="47" spans="1:17" x14ac:dyDescent="0.2">
      <c r="A47" s="88"/>
      <c r="B47" s="57" t="s">
        <v>347</v>
      </c>
      <c r="C47" s="57"/>
      <c r="D47" s="57"/>
      <c r="E47" s="57"/>
      <c r="F47" s="57"/>
      <c r="G47" s="57"/>
      <c r="H47" s="57"/>
      <c r="I47" s="57"/>
      <c r="J47" s="57"/>
      <c r="K47" s="57"/>
      <c r="L47" s="65"/>
      <c r="M47" s="65"/>
      <c r="N47" s="134"/>
    </row>
    <row r="48" spans="1:17" ht="34.15" customHeight="1" x14ac:dyDescent="0.2">
      <c r="A48" s="88"/>
      <c r="B48" s="446" t="s">
        <v>348</v>
      </c>
      <c r="C48" s="447"/>
      <c r="D48" s="447"/>
      <c r="E48" s="447"/>
      <c r="F48" s="447"/>
      <c r="G48" s="447"/>
      <c r="H48" s="447"/>
      <c r="I48" s="447"/>
      <c r="J48" s="447"/>
      <c r="K48" s="447"/>
      <c r="L48" s="447"/>
      <c r="M48" s="447"/>
      <c r="N48" s="447"/>
    </row>
    <row r="49" spans="1:14" x14ac:dyDescent="0.2">
      <c r="A49" s="88">
        <v>3</v>
      </c>
      <c r="B49" s="57" t="s">
        <v>490</v>
      </c>
      <c r="C49" s="57"/>
      <c r="D49" s="57"/>
      <c r="E49" s="57"/>
      <c r="F49" s="57"/>
      <c r="G49" s="57"/>
      <c r="H49" s="57"/>
      <c r="I49" s="57"/>
      <c r="J49" s="57"/>
      <c r="K49" s="57"/>
      <c r="L49" s="65"/>
      <c r="M49" s="65"/>
      <c r="N49" s="134"/>
    </row>
    <row r="50" spans="1:14" x14ac:dyDescent="0.2">
      <c r="A50" s="88">
        <v>4</v>
      </c>
      <c r="B50" s="59" t="s">
        <v>349</v>
      </c>
      <c r="C50" s="59"/>
      <c r="D50" s="59"/>
      <c r="E50" s="59"/>
      <c r="F50" s="59"/>
      <c r="G50" s="65"/>
      <c r="H50" s="65"/>
      <c r="I50" s="65"/>
      <c r="J50" s="65"/>
      <c r="K50" s="65"/>
      <c r="L50" s="65"/>
      <c r="M50" s="65"/>
      <c r="N50" s="134"/>
    </row>
    <row r="51" spans="1:14" x14ac:dyDescent="0.2">
      <c r="A51" s="88">
        <v>5</v>
      </c>
      <c r="B51" s="59" t="s">
        <v>350</v>
      </c>
      <c r="C51" s="59"/>
      <c r="D51" s="59"/>
      <c r="E51" s="59"/>
      <c r="F51" s="59"/>
      <c r="G51" s="65"/>
      <c r="H51" s="65"/>
      <c r="I51" s="65"/>
      <c r="J51" s="65"/>
      <c r="K51" s="65"/>
      <c r="L51" s="65"/>
      <c r="M51" s="65"/>
      <c r="N51" s="134"/>
    </row>
    <row r="52" spans="1:14" x14ac:dyDescent="0.2">
      <c r="A52" s="88">
        <v>6</v>
      </c>
      <c r="B52" s="57" t="s">
        <v>567</v>
      </c>
      <c r="C52" s="57"/>
      <c r="D52" s="57"/>
      <c r="E52" s="57"/>
      <c r="F52" s="57"/>
      <c r="G52" s="57"/>
      <c r="H52" s="57"/>
      <c r="I52" s="57"/>
      <c r="J52" s="57"/>
      <c r="K52" s="57"/>
      <c r="L52" s="158"/>
      <c r="M52" s="131"/>
      <c r="N52" s="134"/>
    </row>
    <row r="53" spans="1:14" x14ac:dyDescent="0.2">
      <c r="A53" s="88">
        <v>7</v>
      </c>
      <c r="B53" s="57" t="s">
        <v>351</v>
      </c>
      <c r="C53" s="195"/>
      <c r="D53" s="195"/>
      <c r="E53" s="195"/>
      <c r="F53" s="195"/>
      <c r="G53" s="195"/>
      <c r="H53" s="195"/>
      <c r="I53" s="195"/>
      <c r="J53" s="195"/>
      <c r="K53" s="195"/>
      <c r="L53" s="158"/>
      <c r="M53" s="131"/>
      <c r="N53" s="134"/>
    </row>
    <row r="54" spans="1:14" x14ac:dyDescent="0.2">
      <c r="A54" s="88">
        <v>8</v>
      </c>
      <c r="B54" s="57" t="s">
        <v>352</v>
      </c>
      <c r="C54" s="195"/>
      <c r="D54" s="195"/>
      <c r="E54" s="195"/>
      <c r="F54" s="195"/>
      <c r="G54" s="195"/>
      <c r="H54" s="195"/>
      <c r="I54" s="195"/>
      <c r="J54" s="195"/>
      <c r="K54" s="195"/>
      <c r="L54" s="158"/>
      <c r="M54" s="131"/>
      <c r="N54" s="134"/>
    </row>
    <row r="55" spans="1:14" x14ac:dyDescent="0.2">
      <c r="A55" s="187" t="s">
        <v>353</v>
      </c>
      <c r="B55" s="57" t="s">
        <v>354</v>
      </c>
      <c r="C55" s="195"/>
      <c r="D55" s="195"/>
      <c r="E55" s="195"/>
      <c r="F55" s="195"/>
      <c r="G55" s="195"/>
      <c r="H55" s="195"/>
      <c r="I55" s="195"/>
      <c r="J55" s="195"/>
      <c r="K55" s="195"/>
      <c r="L55" s="158"/>
      <c r="M55" s="131"/>
      <c r="N55" s="134"/>
    </row>
    <row r="56" spans="1:14" x14ac:dyDescent="0.2">
      <c r="A56" s="88">
        <v>9</v>
      </c>
      <c r="B56" s="57" t="s">
        <v>355</v>
      </c>
      <c r="C56" s="195"/>
      <c r="D56" s="195"/>
      <c r="E56" s="195"/>
      <c r="F56" s="195"/>
      <c r="G56" s="195"/>
      <c r="H56" s="195"/>
      <c r="I56" s="195"/>
      <c r="J56" s="195"/>
      <c r="K56" s="195"/>
      <c r="L56" s="158"/>
      <c r="M56" s="131"/>
      <c r="N56" s="134"/>
    </row>
    <row r="57" spans="1:14" x14ac:dyDescent="0.2">
      <c r="A57" s="88">
        <v>10</v>
      </c>
      <c r="B57" s="57" t="s">
        <v>356</v>
      </c>
      <c r="C57" s="195"/>
      <c r="D57" s="195"/>
      <c r="E57" s="195"/>
      <c r="F57" s="195"/>
      <c r="G57" s="195"/>
      <c r="H57" s="195"/>
      <c r="I57" s="195"/>
      <c r="J57" s="195"/>
      <c r="K57" s="195"/>
      <c r="L57" s="158"/>
      <c r="M57" s="131"/>
      <c r="N57" s="134"/>
    </row>
    <row r="58" spans="1:14" x14ac:dyDescent="0.2">
      <c r="A58" s="88"/>
      <c r="B58" s="57" t="s">
        <v>357</v>
      </c>
      <c r="C58" s="195"/>
      <c r="D58" s="195"/>
      <c r="E58" s="195"/>
      <c r="F58" s="195"/>
      <c r="G58" s="195"/>
      <c r="H58" s="195"/>
      <c r="I58" s="195"/>
      <c r="J58" s="195"/>
      <c r="K58" s="195"/>
      <c r="L58" s="158"/>
      <c r="M58" s="131"/>
      <c r="N58" s="134"/>
    </row>
    <row r="59" spans="1:14" x14ac:dyDescent="0.2">
      <c r="A59" s="88">
        <v>11</v>
      </c>
      <c r="B59" s="57" t="s">
        <v>358</v>
      </c>
      <c r="C59" s="195"/>
      <c r="D59" s="195"/>
      <c r="E59" s="195"/>
      <c r="F59" s="195"/>
      <c r="G59" s="195"/>
      <c r="H59" s="195"/>
      <c r="I59" s="195"/>
      <c r="J59" s="195"/>
      <c r="K59" s="195"/>
      <c r="L59" s="158"/>
      <c r="M59" s="131"/>
      <c r="N59" s="134"/>
    </row>
    <row r="60" spans="1:14" x14ac:dyDescent="0.2">
      <c r="A60" s="88">
        <v>12</v>
      </c>
      <c r="B60" s="195" t="s">
        <v>568</v>
      </c>
      <c r="C60" s="195"/>
      <c r="D60" s="195"/>
      <c r="E60" s="195"/>
      <c r="F60" s="195"/>
      <c r="G60" s="195"/>
      <c r="H60" s="195"/>
      <c r="I60" s="195"/>
      <c r="J60" s="195"/>
      <c r="K60" s="195"/>
      <c r="L60" s="158"/>
      <c r="M60" s="131"/>
      <c r="N60" s="134"/>
    </row>
    <row r="61" spans="1:14" x14ac:dyDescent="0.2">
      <c r="A61" s="88">
        <v>13</v>
      </c>
      <c r="B61" s="61" t="s">
        <v>359</v>
      </c>
      <c r="C61" s="196"/>
      <c r="D61" s="196"/>
      <c r="E61" s="196"/>
      <c r="F61" s="197"/>
      <c r="G61" s="195"/>
      <c r="H61" s="195"/>
      <c r="I61" s="195"/>
      <c r="J61" s="195"/>
      <c r="K61" s="195"/>
      <c r="L61" s="158"/>
      <c r="M61" s="132"/>
      <c r="N61" s="134"/>
    </row>
    <row r="62" spans="1:14" x14ac:dyDescent="0.2">
      <c r="A62" s="88">
        <v>14</v>
      </c>
      <c r="B62" s="61" t="s">
        <v>360</v>
      </c>
      <c r="C62" s="196"/>
      <c r="D62" s="196"/>
      <c r="E62" s="196"/>
      <c r="F62" s="197"/>
      <c r="G62" s="195"/>
      <c r="H62" s="195"/>
      <c r="I62" s="195"/>
      <c r="J62" s="195"/>
      <c r="K62" s="195"/>
      <c r="L62" s="158"/>
      <c r="M62" s="132"/>
      <c r="N62" s="134"/>
    </row>
    <row r="63" spans="1:14" x14ac:dyDescent="0.2">
      <c r="B63" s="146"/>
      <c r="C63" s="146"/>
      <c r="D63" s="146"/>
      <c r="E63" s="146"/>
      <c r="F63" s="146"/>
      <c r="G63" s="146"/>
      <c r="H63" s="146"/>
      <c r="I63" s="146"/>
      <c r="J63" s="146"/>
      <c r="K63" s="146"/>
      <c r="L63" s="156"/>
      <c r="M63" s="134"/>
      <c r="N63" s="134"/>
    </row>
    <row r="64" spans="1:14" x14ac:dyDescent="0.2">
      <c r="B64" s="146"/>
      <c r="C64" s="146"/>
      <c r="D64" s="146"/>
      <c r="E64" s="146"/>
      <c r="F64" s="146"/>
      <c r="G64" s="146"/>
      <c r="H64" s="146"/>
      <c r="I64" s="146"/>
      <c r="J64" s="146"/>
      <c r="K64" s="146"/>
      <c r="L64" s="156"/>
      <c r="M64" s="134"/>
      <c r="N64" s="134"/>
    </row>
    <row r="65" spans="2:14" x14ac:dyDescent="0.2">
      <c r="B65" s="146"/>
      <c r="C65" s="146"/>
      <c r="D65" s="146"/>
      <c r="E65" s="146"/>
      <c r="F65" s="146"/>
      <c r="G65" s="146"/>
      <c r="H65" s="146"/>
      <c r="I65" s="146"/>
      <c r="J65" s="146"/>
      <c r="K65" s="146"/>
      <c r="L65" s="156"/>
      <c r="M65" s="134"/>
      <c r="N65" s="134"/>
    </row>
    <row r="66" spans="2:14" x14ac:dyDescent="0.2">
      <c r="B66" s="146"/>
      <c r="C66" s="146"/>
      <c r="D66" s="146"/>
      <c r="E66" s="146"/>
      <c r="F66" s="146"/>
      <c r="G66" s="146"/>
      <c r="H66" s="146"/>
      <c r="I66" s="146"/>
      <c r="J66" s="146"/>
      <c r="K66" s="146"/>
      <c r="L66" s="156"/>
      <c r="M66" s="134"/>
      <c r="N66" s="134"/>
    </row>
    <row r="67" spans="2:14" x14ac:dyDescent="0.2">
      <c r="B67" s="146"/>
      <c r="C67" s="146"/>
      <c r="D67" s="146"/>
      <c r="E67" s="146"/>
      <c r="F67" s="146"/>
      <c r="G67" s="146"/>
      <c r="H67" s="146"/>
      <c r="I67" s="146"/>
      <c r="J67" s="146"/>
      <c r="K67" s="146"/>
      <c r="L67" s="156"/>
      <c r="M67" s="134"/>
      <c r="N67" s="134"/>
    </row>
  </sheetData>
  <mergeCells count="21">
    <mergeCell ref="A1:N1"/>
    <mergeCell ref="I4:K4"/>
    <mergeCell ref="L4:L5"/>
    <mergeCell ref="M4:M5"/>
    <mergeCell ref="N4:N5"/>
    <mergeCell ref="B2:M2"/>
    <mergeCell ref="A4:A5"/>
    <mergeCell ref="B4:B5"/>
    <mergeCell ref="C4:C5"/>
    <mergeCell ref="B48:N48"/>
    <mergeCell ref="B40:C40"/>
    <mergeCell ref="D4:D5"/>
    <mergeCell ref="E4:E5"/>
    <mergeCell ref="F4:F5"/>
    <mergeCell ref="G4:G5"/>
    <mergeCell ref="H4:H5"/>
    <mergeCell ref="A36:B36"/>
    <mergeCell ref="A32:B32"/>
    <mergeCell ref="A8:B8"/>
    <mergeCell ref="A19:B19"/>
    <mergeCell ref="A21:D21"/>
  </mergeCells>
  <pageMargins left="0.39370078740157483" right="0.11811023622047245" top="0.39370078740157483" bottom="0.35433070866141736" header="0.31496062992125984" footer="0.31496062992125984"/>
  <pageSetup paperSize="5" scale="65" orientation="landscape" horizontalDpi="4294967293" verticalDpi="0" r:id="rId1"/>
  <rowBreaks count="2" manualBreakCount="2">
    <brk id="20" max="16" man="1"/>
    <brk id="31"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0"/>
  <sheetViews>
    <sheetView view="pageBreakPreview" topLeftCell="A16" zoomScale="70" zoomScaleNormal="100" zoomScaleSheetLayoutView="70" workbookViewId="0">
      <selection activeCell="H14" sqref="H14"/>
    </sheetView>
  </sheetViews>
  <sheetFormatPr defaultColWidth="9.140625" defaultRowHeight="15.75" x14ac:dyDescent="0.25"/>
  <cols>
    <col min="1" max="1" width="10.7109375" style="168" bestFit="1" customWidth="1"/>
    <col min="2" max="2" width="30.7109375" style="141" customWidth="1"/>
    <col min="3" max="3" width="10.5703125" style="141" customWidth="1"/>
    <col min="4" max="4" width="11.5703125" style="199" customWidth="1"/>
    <col min="5" max="5" width="11.5703125" style="141" customWidth="1"/>
    <col min="6" max="6" width="12.140625" style="141" customWidth="1"/>
    <col min="7" max="7" width="12" style="141" customWidth="1"/>
    <col min="8" max="8" width="12.28515625" style="141" customWidth="1"/>
    <col min="9" max="9" width="10.28515625" style="141" customWidth="1"/>
    <col min="10" max="10" width="11.7109375" style="141" customWidth="1"/>
    <col min="11" max="11" width="10.140625" style="141" customWidth="1"/>
    <col min="12" max="12" width="13.5703125" style="141" customWidth="1"/>
    <col min="13" max="13" width="33.140625" style="141" customWidth="1"/>
    <col min="14" max="14" width="33.28515625" style="141" customWidth="1"/>
    <col min="15" max="15" width="9.140625" style="141"/>
    <col min="16" max="17" width="120.7109375" style="141" customWidth="1"/>
    <col min="18" max="16384" width="9.140625" style="141"/>
  </cols>
  <sheetData>
    <row r="1" spans="1:17" ht="15" x14ac:dyDescent="0.25">
      <c r="A1" s="470" t="s">
        <v>561</v>
      </c>
      <c r="B1" s="470"/>
      <c r="C1" s="470"/>
      <c r="D1" s="470"/>
      <c r="E1" s="470"/>
      <c r="F1" s="470"/>
      <c r="G1" s="470"/>
      <c r="H1" s="470"/>
      <c r="I1" s="470"/>
      <c r="J1" s="470"/>
      <c r="K1" s="470"/>
      <c r="L1" s="470"/>
      <c r="M1" s="470"/>
      <c r="N1" s="470"/>
    </row>
    <row r="2" spans="1:17" ht="15" x14ac:dyDescent="0.25">
      <c r="A2" s="449" t="s">
        <v>1178</v>
      </c>
      <c r="B2" s="449"/>
      <c r="C2" s="449"/>
      <c r="D2" s="449"/>
      <c r="E2" s="449"/>
      <c r="F2" s="449"/>
      <c r="G2" s="449"/>
      <c r="H2" s="449"/>
      <c r="I2" s="449"/>
      <c r="J2" s="449"/>
      <c r="K2" s="449"/>
      <c r="L2" s="449"/>
      <c r="M2" s="449"/>
      <c r="N2" s="449"/>
    </row>
    <row r="3" spans="1:17" x14ac:dyDescent="0.25">
      <c r="A3" s="159"/>
      <c r="B3" s="153"/>
      <c r="C3" s="153"/>
      <c r="D3" s="194"/>
      <c r="E3" s="153"/>
      <c r="F3" s="153"/>
      <c r="G3" s="153"/>
      <c r="H3" s="153"/>
      <c r="I3" s="153"/>
      <c r="J3" s="153"/>
      <c r="K3" s="153"/>
      <c r="L3" s="153"/>
      <c r="M3" s="153"/>
      <c r="N3" s="153"/>
    </row>
    <row r="4" spans="1:17" ht="14.45" customHeight="1" x14ac:dyDescent="0.25">
      <c r="A4" s="474" t="s">
        <v>1</v>
      </c>
      <c r="B4" s="405" t="s">
        <v>1091</v>
      </c>
      <c r="C4" s="442" t="s">
        <v>1088</v>
      </c>
      <c r="D4" s="435" t="s">
        <v>198</v>
      </c>
      <c r="E4" s="435" t="s">
        <v>199</v>
      </c>
      <c r="F4" s="435" t="s">
        <v>200</v>
      </c>
      <c r="G4" s="435" t="s">
        <v>201</v>
      </c>
      <c r="H4" s="435" t="s">
        <v>202</v>
      </c>
      <c r="I4" s="435" t="s">
        <v>203</v>
      </c>
      <c r="J4" s="435"/>
      <c r="K4" s="435"/>
      <c r="L4" s="435" t="s">
        <v>1130</v>
      </c>
      <c r="M4" s="435" t="s">
        <v>205</v>
      </c>
      <c r="N4" s="471" t="s">
        <v>206</v>
      </c>
    </row>
    <row r="5" spans="1:17" ht="52.5" customHeight="1" x14ac:dyDescent="0.25">
      <c r="A5" s="474"/>
      <c r="B5" s="407"/>
      <c r="C5" s="442"/>
      <c r="D5" s="435"/>
      <c r="E5" s="435"/>
      <c r="F5" s="435"/>
      <c r="G5" s="435"/>
      <c r="H5" s="435"/>
      <c r="I5" s="49" t="s">
        <v>207</v>
      </c>
      <c r="J5" s="49" t="s">
        <v>208</v>
      </c>
      <c r="K5" s="49" t="s">
        <v>209</v>
      </c>
      <c r="L5" s="435"/>
      <c r="M5" s="435"/>
      <c r="N5" s="472"/>
      <c r="P5" s="166" t="s">
        <v>3</v>
      </c>
      <c r="Q5" s="166" t="s">
        <v>362</v>
      </c>
    </row>
    <row r="6" spans="1:17" ht="15" x14ac:dyDescent="0.25">
      <c r="A6" s="160" t="s">
        <v>9</v>
      </c>
      <c r="B6" s="161" t="s">
        <v>10</v>
      </c>
      <c r="C6" s="7" t="s">
        <v>11</v>
      </c>
      <c r="D6" s="7" t="s">
        <v>12</v>
      </c>
      <c r="E6" s="7" t="s">
        <v>13</v>
      </c>
      <c r="F6" s="7" t="s">
        <v>14</v>
      </c>
      <c r="G6" s="7" t="s">
        <v>15</v>
      </c>
      <c r="H6" s="7" t="s">
        <v>190</v>
      </c>
      <c r="I6" s="7" t="s">
        <v>210</v>
      </c>
      <c r="J6" s="7" t="s">
        <v>211</v>
      </c>
      <c r="K6" s="7" t="s">
        <v>212</v>
      </c>
      <c r="L6" s="7" t="s">
        <v>213</v>
      </c>
      <c r="M6" s="7" t="s">
        <v>214</v>
      </c>
      <c r="N6" s="7" t="s">
        <v>215</v>
      </c>
    </row>
    <row r="7" spans="1:17" ht="30" x14ac:dyDescent="0.25">
      <c r="A7" s="162" t="s">
        <v>552</v>
      </c>
      <c r="B7" s="163" t="s">
        <v>877</v>
      </c>
      <c r="C7" s="7"/>
      <c r="D7" s="7"/>
      <c r="E7" s="139"/>
      <c r="F7" s="164"/>
      <c r="G7" s="139"/>
      <c r="H7" s="165"/>
      <c r="I7" s="126"/>
      <c r="J7" s="165"/>
      <c r="K7" s="217">
        <f>AVERAGE(J8:J13)</f>
        <v>100</v>
      </c>
      <c r="L7" s="7"/>
      <c r="M7" s="7"/>
      <c r="N7" s="7"/>
    </row>
    <row r="8" spans="1:17" ht="66" customHeight="1" x14ac:dyDescent="0.25">
      <c r="A8" s="143">
        <v>1</v>
      </c>
      <c r="B8" s="4" t="s">
        <v>553</v>
      </c>
      <c r="C8" s="44" t="s">
        <v>1120</v>
      </c>
      <c r="D8" s="164" t="s">
        <v>481</v>
      </c>
      <c r="E8" s="310">
        <v>297</v>
      </c>
      <c r="F8" s="164">
        <v>200</v>
      </c>
      <c r="G8" s="164">
        <v>297</v>
      </c>
      <c r="H8" s="138">
        <f t="shared" ref="H8:H12" si="0">G8/E8*100</f>
        <v>100</v>
      </c>
      <c r="I8" s="126"/>
      <c r="J8" s="100">
        <f t="shared" ref="J8:J13" si="1">IF(G8/F8*100&gt;=100,100,IF(G8/F8*100&lt;100,G8/F8*100))</f>
        <v>100</v>
      </c>
      <c r="K8" s="100"/>
      <c r="L8" s="164" t="s">
        <v>1122</v>
      </c>
      <c r="M8" s="139"/>
      <c r="N8" s="139"/>
      <c r="P8" s="130" t="s">
        <v>1077</v>
      </c>
      <c r="Q8" s="130" t="s">
        <v>1066</v>
      </c>
    </row>
    <row r="9" spans="1:17" ht="54.75" customHeight="1" x14ac:dyDescent="0.25">
      <c r="A9" s="143">
        <v>2</v>
      </c>
      <c r="B9" s="4" t="s">
        <v>555</v>
      </c>
      <c r="C9" s="44">
        <v>1</v>
      </c>
      <c r="D9" s="164" t="s">
        <v>481</v>
      </c>
      <c r="E9" s="310">
        <v>44</v>
      </c>
      <c r="F9" s="164">
        <f>C9*E9</f>
        <v>44</v>
      </c>
      <c r="G9" s="164">
        <v>44</v>
      </c>
      <c r="H9" s="138">
        <f t="shared" si="0"/>
        <v>100</v>
      </c>
      <c r="I9" s="126"/>
      <c r="J9" s="100">
        <f t="shared" si="1"/>
        <v>100</v>
      </c>
      <c r="K9" s="100"/>
      <c r="L9" s="164" t="s">
        <v>1122</v>
      </c>
      <c r="M9" s="139"/>
      <c r="N9" s="139"/>
      <c r="P9" s="130" t="s">
        <v>1067</v>
      </c>
      <c r="Q9" s="130" t="s">
        <v>1068</v>
      </c>
    </row>
    <row r="10" spans="1:17" ht="57" customHeight="1" x14ac:dyDescent="0.25">
      <c r="A10" s="143">
        <v>3</v>
      </c>
      <c r="B10" s="4" t="s">
        <v>557</v>
      </c>
      <c r="C10" s="44">
        <v>1</v>
      </c>
      <c r="D10" s="164" t="s">
        <v>481</v>
      </c>
      <c r="E10" s="310">
        <v>23</v>
      </c>
      <c r="F10" s="164">
        <f>C10*E10</f>
        <v>23</v>
      </c>
      <c r="G10" s="164">
        <v>23</v>
      </c>
      <c r="H10" s="138">
        <f t="shared" si="0"/>
        <v>100</v>
      </c>
      <c r="I10" s="126"/>
      <c r="J10" s="100">
        <f t="shared" si="1"/>
        <v>100</v>
      </c>
      <c r="K10" s="100"/>
      <c r="L10" s="164" t="s">
        <v>1122</v>
      </c>
      <c r="M10" s="139"/>
      <c r="N10" s="139"/>
      <c r="P10" s="130" t="s">
        <v>1069</v>
      </c>
      <c r="Q10" s="130" t="s">
        <v>1070</v>
      </c>
    </row>
    <row r="11" spans="1:17" ht="60" customHeight="1" x14ac:dyDescent="0.25">
      <c r="A11" s="143">
        <v>4</v>
      </c>
      <c r="B11" s="4" t="s">
        <v>558</v>
      </c>
      <c r="C11" s="44">
        <v>0.9</v>
      </c>
      <c r="D11" s="164" t="s">
        <v>562</v>
      </c>
      <c r="E11" s="310">
        <v>2</v>
      </c>
      <c r="F11" s="164">
        <f>C11*E11</f>
        <v>1.8</v>
      </c>
      <c r="G11" s="164">
        <v>2</v>
      </c>
      <c r="H11" s="138">
        <f t="shared" si="0"/>
        <v>100</v>
      </c>
      <c r="I11" s="126"/>
      <c r="J11" s="100">
        <f t="shared" si="1"/>
        <v>100</v>
      </c>
      <c r="K11" s="100"/>
      <c r="L11" s="164" t="s">
        <v>1122</v>
      </c>
      <c r="M11" s="126"/>
      <c r="N11" s="126"/>
      <c r="P11" s="130" t="s">
        <v>1071</v>
      </c>
      <c r="Q11" s="130" t="s">
        <v>1072</v>
      </c>
    </row>
    <row r="12" spans="1:17" ht="80.25" customHeight="1" x14ac:dyDescent="0.25">
      <c r="A12" s="143">
        <v>5</v>
      </c>
      <c r="B12" s="4" t="s">
        <v>559</v>
      </c>
      <c r="C12" s="44">
        <v>1</v>
      </c>
      <c r="D12" s="164" t="s">
        <v>285</v>
      </c>
      <c r="E12" s="310">
        <v>28</v>
      </c>
      <c r="F12" s="164">
        <f>C12*E12</f>
        <v>28</v>
      </c>
      <c r="G12" s="164">
        <v>28</v>
      </c>
      <c r="H12" s="138">
        <f t="shared" si="0"/>
        <v>100</v>
      </c>
      <c r="I12" s="126"/>
      <c r="J12" s="100">
        <f t="shared" si="1"/>
        <v>100</v>
      </c>
      <c r="K12" s="126"/>
      <c r="L12" s="164" t="s">
        <v>1122</v>
      </c>
      <c r="M12" s="126"/>
      <c r="N12" s="126"/>
      <c r="P12" s="130" t="s">
        <v>1073</v>
      </c>
      <c r="Q12" s="130" t="s">
        <v>1074</v>
      </c>
    </row>
    <row r="13" spans="1:17" ht="42" customHeight="1" x14ac:dyDescent="0.25">
      <c r="A13" s="143">
        <v>6</v>
      </c>
      <c r="B13" s="4" t="s">
        <v>560</v>
      </c>
      <c r="C13" s="136" t="s">
        <v>1121</v>
      </c>
      <c r="D13" s="164" t="s">
        <v>562</v>
      </c>
      <c r="E13" s="310">
        <v>18324</v>
      </c>
      <c r="F13" s="164">
        <v>81</v>
      </c>
      <c r="G13" s="164">
        <v>14956</v>
      </c>
      <c r="H13" s="138">
        <v>80.099999999999994</v>
      </c>
      <c r="I13" s="126"/>
      <c r="J13" s="100">
        <f t="shared" si="1"/>
        <v>100</v>
      </c>
      <c r="K13" s="126"/>
      <c r="L13" s="164" t="s">
        <v>1122</v>
      </c>
      <c r="M13" s="126"/>
      <c r="N13" s="126"/>
      <c r="P13" s="130" t="s">
        <v>1075</v>
      </c>
      <c r="Q13" s="130" t="s">
        <v>1076</v>
      </c>
    </row>
    <row r="14" spans="1:17" ht="36" customHeight="1" x14ac:dyDescent="0.25">
      <c r="A14" s="162" t="s">
        <v>878</v>
      </c>
      <c r="B14" s="163" t="s">
        <v>879</v>
      </c>
      <c r="C14" s="7"/>
      <c r="D14" s="7"/>
      <c r="E14" s="310"/>
      <c r="F14" s="164"/>
      <c r="G14" s="139"/>
      <c r="H14" s="229"/>
      <c r="I14" s="126"/>
      <c r="J14" s="165"/>
      <c r="K14" s="183">
        <f>AVERAGE(J15:J20)</f>
        <v>92.5</v>
      </c>
      <c r="L14" s="246"/>
      <c r="M14" s="7"/>
      <c r="N14" s="7"/>
      <c r="P14" s="130"/>
      <c r="Q14" s="130"/>
    </row>
    <row r="15" spans="1:17" ht="60" customHeight="1" x14ac:dyDescent="0.25">
      <c r="A15" s="143">
        <v>1</v>
      </c>
      <c r="B15" s="4" t="s">
        <v>880</v>
      </c>
      <c r="C15" s="44">
        <v>1</v>
      </c>
      <c r="D15" s="164" t="s">
        <v>481</v>
      </c>
      <c r="E15" s="310">
        <v>4</v>
      </c>
      <c r="F15" s="164">
        <f>C15*E15</f>
        <v>4</v>
      </c>
      <c r="G15" s="233">
        <v>4</v>
      </c>
      <c r="H15" s="138">
        <f t="shared" ref="H15" si="2">G15/E15*100</f>
        <v>100</v>
      </c>
      <c r="I15" s="126"/>
      <c r="J15" s="100">
        <f>IF(G15/F15*100&gt;=100,100,IF(G15/F15*100&lt;100,G15/F15*100))</f>
        <v>100</v>
      </c>
      <c r="K15" s="100"/>
      <c r="L15" s="164" t="s">
        <v>1122</v>
      </c>
      <c r="M15" s="126"/>
      <c r="N15" s="126"/>
      <c r="P15" s="130" t="s">
        <v>1083</v>
      </c>
      <c r="Q15" s="130" t="s">
        <v>1079</v>
      </c>
    </row>
    <row r="16" spans="1:17" ht="60" customHeight="1" x14ac:dyDescent="0.25">
      <c r="A16" s="143">
        <v>2</v>
      </c>
      <c r="B16" s="4" t="s">
        <v>881</v>
      </c>
      <c r="C16" s="44">
        <v>1</v>
      </c>
      <c r="D16" s="164" t="s">
        <v>481</v>
      </c>
      <c r="E16" s="310">
        <v>2</v>
      </c>
      <c r="F16" s="164">
        <f>C16*E16</f>
        <v>2</v>
      </c>
      <c r="G16" s="164">
        <v>2</v>
      </c>
      <c r="H16" s="138">
        <f>G16/E16*100</f>
        <v>100</v>
      </c>
      <c r="I16" s="126"/>
      <c r="J16" s="100">
        <f>IF(G16/F16*100&gt;=100,100,IF(G16/F16*100&lt;100,G16/F16*100))</f>
        <v>100</v>
      </c>
      <c r="K16" s="100"/>
      <c r="L16" s="164" t="s">
        <v>1122</v>
      </c>
      <c r="M16" s="120"/>
      <c r="N16" s="120"/>
      <c r="P16" s="130" t="s">
        <v>1084</v>
      </c>
      <c r="Q16" s="130" t="s">
        <v>1080</v>
      </c>
    </row>
    <row r="17" spans="1:17" ht="100.5" customHeight="1" x14ac:dyDescent="0.25">
      <c r="A17" s="143">
        <v>3</v>
      </c>
      <c r="B17" s="4" t="s">
        <v>882</v>
      </c>
      <c r="C17" s="44">
        <v>1</v>
      </c>
      <c r="D17" s="164" t="s">
        <v>481</v>
      </c>
      <c r="E17" s="310">
        <v>3</v>
      </c>
      <c r="F17" s="164">
        <f>C17*E17</f>
        <v>3</v>
      </c>
      <c r="G17" s="164">
        <v>3</v>
      </c>
      <c r="H17" s="138">
        <f>G17/E17*100</f>
        <v>100</v>
      </c>
      <c r="I17" s="126"/>
      <c r="J17" s="100">
        <f>IF(G17/F17*100&gt;=100,100,IF(G17/F17*100&lt;100,G17/F17*100))</f>
        <v>100</v>
      </c>
      <c r="K17" s="100"/>
      <c r="L17" s="164" t="s">
        <v>1122</v>
      </c>
      <c r="M17" s="120"/>
      <c r="N17" s="120"/>
      <c r="P17" s="130" t="s">
        <v>1078</v>
      </c>
      <c r="Q17" s="130" t="s">
        <v>1081</v>
      </c>
    </row>
    <row r="18" spans="1:17" ht="45" customHeight="1" x14ac:dyDescent="0.25">
      <c r="A18" s="143">
        <v>4</v>
      </c>
      <c r="B18" s="4" t="s">
        <v>883</v>
      </c>
      <c r="C18" s="44">
        <v>1</v>
      </c>
      <c r="D18" s="164" t="s">
        <v>562</v>
      </c>
      <c r="E18" s="310">
        <v>80</v>
      </c>
      <c r="F18" s="164">
        <f>C18*E18</f>
        <v>80</v>
      </c>
      <c r="G18" s="164">
        <v>50</v>
      </c>
      <c r="H18" s="138">
        <f>G18/E18*100</f>
        <v>62.5</v>
      </c>
      <c r="I18" s="126"/>
      <c r="J18" s="100">
        <f>IF(G18/F18*100&gt;=100,100,IF(G18/F18*100&lt;100,G18/F18*100))</f>
        <v>62.5</v>
      </c>
      <c r="K18" s="100"/>
      <c r="L18" s="164" t="s">
        <v>1128</v>
      </c>
      <c r="M18" s="311" t="s">
        <v>1196</v>
      </c>
      <c r="N18" s="311" t="s">
        <v>1197</v>
      </c>
      <c r="P18" s="130" t="s">
        <v>1085</v>
      </c>
      <c r="Q18" s="130" t="s">
        <v>1082</v>
      </c>
    </row>
    <row r="19" spans="1:17" ht="27" customHeight="1" x14ac:dyDescent="0.3">
      <c r="A19" s="162" t="s">
        <v>884</v>
      </c>
      <c r="B19" s="96" t="s">
        <v>886</v>
      </c>
      <c r="C19" s="44"/>
      <c r="D19" s="164"/>
      <c r="E19" s="310"/>
      <c r="F19" s="164"/>
      <c r="G19" s="164"/>
      <c r="H19" s="229"/>
      <c r="I19" s="126"/>
      <c r="J19" s="100"/>
      <c r="K19" s="218">
        <f>AVERAGE(J20:J20)</f>
        <v>100</v>
      </c>
      <c r="L19" s="228"/>
      <c r="M19" s="126"/>
      <c r="N19" s="126"/>
      <c r="P19" s="130"/>
      <c r="Q19" s="130"/>
    </row>
    <row r="20" spans="1:17" ht="39.75" customHeight="1" x14ac:dyDescent="0.25">
      <c r="A20" s="143">
        <v>1</v>
      </c>
      <c r="B20" s="4" t="s">
        <v>885</v>
      </c>
      <c r="C20" s="44">
        <v>1</v>
      </c>
      <c r="D20" s="164" t="s">
        <v>887</v>
      </c>
      <c r="E20" s="310">
        <v>1</v>
      </c>
      <c r="F20" s="164">
        <f>C20*E20</f>
        <v>1</v>
      </c>
      <c r="G20" s="164">
        <v>1</v>
      </c>
      <c r="H20" s="138">
        <f>G20/E20*100</f>
        <v>100</v>
      </c>
      <c r="I20" s="126"/>
      <c r="J20" s="100">
        <f>IF(G20/F20*100&gt;=100,100,IF(G20/F20*100&lt;100,G20/F20*100))</f>
        <v>100</v>
      </c>
      <c r="K20" s="126"/>
      <c r="L20" s="164" t="s">
        <v>1122</v>
      </c>
      <c r="M20" s="126"/>
      <c r="N20" s="126"/>
      <c r="P20" s="130" t="s">
        <v>1086</v>
      </c>
      <c r="Q20" s="130" t="s">
        <v>1087</v>
      </c>
    </row>
    <row r="21" spans="1:17" x14ac:dyDescent="0.25">
      <c r="A21" s="167"/>
      <c r="B21" s="145"/>
      <c r="C21" s="145"/>
    </row>
    <row r="22" spans="1:17" x14ac:dyDescent="0.25">
      <c r="A22" s="167"/>
      <c r="B22" s="145"/>
      <c r="C22" s="145"/>
    </row>
    <row r="23" spans="1:17" x14ac:dyDescent="0.25">
      <c r="A23" s="167"/>
      <c r="B23" s="473" t="s">
        <v>563</v>
      </c>
      <c r="C23" s="473"/>
    </row>
    <row r="24" spans="1:17" x14ac:dyDescent="0.25">
      <c r="B24" s="87" t="s">
        <v>337</v>
      </c>
      <c r="C24" s="86" t="s">
        <v>564</v>
      </c>
    </row>
    <row r="25" spans="1:17" ht="30.75" x14ac:dyDescent="0.25">
      <c r="B25" s="87" t="s">
        <v>339</v>
      </c>
      <c r="C25" s="88" t="s">
        <v>340</v>
      </c>
    </row>
    <row r="26" spans="1:17" x14ac:dyDescent="0.25">
      <c r="B26" s="87" t="s">
        <v>341</v>
      </c>
      <c r="C26" s="86" t="s">
        <v>565</v>
      </c>
    </row>
    <row r="28" spans="1:17" x14ac:dyDescent="0.25">
      <c r="A28" s="144" t="s">
        <v>343</v>
      </c>
      <c r="B28" s="169" t="s">
        <v>344</v>
      </c>
      <c r="C28" s="170"/>
      <c r="D28" s="200"/>
      <c r="E28" s="172"/>
      <c r="F28" s="172"/>
      <c r="G28" s="173"/>
      <c r="H28" s="173"/>
      <c r="I28" s="173"/>
      <c r="J28" s="173"/>
      <c r="K28" s="173"/>
      <c r="L28" s="173"/>
      <c r="M28" s="173"/>
    </row>
    <row r="29" spans="1:17" x14ac:dyDescent="0.25">
      <c r="A29" s="174">
        <v>2</v>
      </c>
      <c r="B29" s="57" t="s">
        <v>345</v>
      </c>
      <c r="C29" s="57"/>
      <c r="D29" s="65"/>
      <c r="E29" s="57"/>
      <c r="F29" s="57"/>
      <c r="G29" s="57"/>
      <c r="H29" s="57"/>
      <c r="I29" s="57"/>
      <c r="J29" s="57"/>
      <c r="K29" s="57"/>
      <c r="L29" s="57"/>
      <c r="M29" s="57"/>
      <c r="N29"/>
    </row>
    <row r="30" spans="1:17" x14ac:dyDescent="0.25">
      <c r="A30" s="174"/>
      <c r="B30" s="57" t="s">
        <v>346</v>
      </c>
      <c r="C30" s="57"/>
      <c r="D30" s="65"/>
      <c r="E30" s="57"/>
      <c r="F30" s="57"/>
      <c r="G30" s="57"/>
      <c r="H30" s="57"/>
      <c r="I30" s="57"/>
      <c r="J30" s="57"/>
      <c r="K30" s="57"/>
      <c r="L30" s="65"/>
      <c r="M30" s="65"/>
      <c r="N30"/>
    </row>
    <row r="31" spans="1:17" x14ac:dyDescent="0.25">
      <c r="A31" s="174"/>
      <c r="B31" s="57" t="s">
        <v>347</v>
      </c>
      <c r="C31" s="57"/>
      <c r="D31" s="65"/>
      <c r="E31" s="57"/>
      <c r="F31" s="57"/>
      <c r="G31" s="57"/>
      <c r="H31" s="57"/>
      <c r="I31" s="57"/>
      <c r="J31" s="57"/>
      <c r="K31" s="57"/>
      <c r="L31" s="65"/>
      <c r="M31" s="65"/>
      <c r="N31"/>
    </row>
    <row r="32" spans="1:17" ht="34.15" customHeight="1" x14ac:dyDescent="0.25">
      <c r="A32" s="174"/>
      <c r="B32" s="446" t="s">
        <v>348</v>
      </c>
      <c r="C32" s="447"/>
      <c r="D32" s="447"/>
      <c r="E32" s="447"/>
      <c r="F32" s="447"/>
      <c r="G32" s="447"/>
      <c r="H32" s="447"/>
      <c r="I32" s="447"/>
      <c r="J32" s="447"/>
      <c r="K32" s="447"/>
      <c r="L32" s="447"/>
      <c r="M32" s="447"/>
      <c r="N32" s="447"/>
    </row>
    <row r="33" spans="1:14" x14ac:dyDescent="0.25">
      <c r="A33" s="174">
        <v>3</v>
      </c>
      <c r="B33" s="57" t="s">
        <v>575</v>
      </c>
      <c r="C33" s="57"/>
      <c r="D33" s="65"/>
      <c r="E33" s="57"/>
      <c r="F33" s="57"/>
      <c r="G33" s="57"/>
      <c r="H33" s="57"/>
      <c r="I33" s="57"/>
      <c r="J33" s="57"/>
      <c r="K33" s="57"/>
      <c r="L33" s="65"/>
      <c r="M33" s="65"/>
      <c r="N33"/>
    </row>
    <row r="34" spans="1:14" x14ac:dyDescent="0.25">
      <c r="A34" s="174">
        <v>4</v>
      </c>
      <c r="B34" s="59" t="s">
        <v>349</v>
      </c>
      <c r="C34" s="59"/>
      <c r="D34" s="65"/>
      <c r="E34" s="59"/>
      <c r="F34" s="59"/>
      <c r="G34" s="65"/>
      <c r="H34" s="65"/>
      <c r="I34" s="65"/>
      <c r="J34" s="65"/>
      <c r="K34" s="65"/>
      <c r="L34" s="65"/>
      <c r="M34" s="65"/>
      <c r="N34"/>
    </row>
    <row r="35" spans="1:14" x14ac:dyDescent="0.25">
      <c r="A35" s="174">
        <v>5</v>
      </c>
      <c r="B35" s="59" t="s">
        <v>576</v>
      </c>
      <c r="C35" s="59"/>
      <c r="D35" s="65"/>
      <c r="E35" s="59"/>
      <c r="F35" s="59"/>
      <c r="G35" s="65"/>
      <c r="H35" s="65"/>
      <c r="I35" s="65"/>
      <c r="J35" s="65"/>
      <c r="K35" s="65"/>
      <c r="L35" s="65"/>
      <c r="M35" s="65"/>
      <c r="N35"/>
    </row>
    <row r="36" spans="1:14" x14ac:dyDescent="0.25">
      <c r="A36" s="174">
        <v>6</v>
      </c>
      <c r="B36" s="57" t="s">
        <v>577</v>
      </c>
      <c r="C36" s="57"/>
      <c r="D36" s="65"/>
      <c r="E36" s="57"/>
      <c r="F36" s="57"/>
      <c r="G36" s="57"/>
      <c r="H36" s="57"/>
      <c r="I36" s="57"/>
      <c r="J36" s="57"/>
      <c r="K36" s="57"/>
      <c r="L36" s="195"/>
      <c r="M36" s="195"/>
      <c r="N36"/>
    </row>
    <row r="37" spans="1:14" x14ac:dyDescent="0.25">
      <c r="A37" s="174">
        <v>7</v>
      </c>
      <c r="B37" s="57" t="s">
        <v>351</v>
      </c>
      <c r="C37" s="195"/>
      <c r="D37" s="102"/>
      <c r="E37" s="195"/>
      <c r="F37" s="195"/>
      <c r="G37" s="195"/>
      <c r="H37" s="195"/>
      <c r="I37" s="195"/>
      <c r="J37" s="195"/>
      <c r="K37" s="195"/>
      <c r="L37" s="195"/>
      <c r="M37" s="195"/>
      <c r="N37"/>
    </row>
    <row r="38" spans="1:14" x14ac:dyDescent="0.25">
      <c r="A38" s="174">
        <v>8</v>
      </c>
      <c r="B38" s="57" t="s">
        <v>578</v>
      </c>
      <c r="C38" s="195"/>
      <c r="D38" s="102"/>
      <c r="E38" s="195"/>
      <c r="F38" s="195"/>
      <c r="G38" s="195"/>
      <c r="H38" s="195"/>
      <c r="I38" s="195"/>
      <c r="J38" s="195"/>
      <c r="K38" s="195"/>
      <c r="L38" s="195"/>
      <c r="M38" s="195"/>
      <c r="N38"/>
    </row>
    <row r="39" spans="1:14" x14ac:dyDescent="0.25">
      <c r="A39" s="175" t="s">
        <v>353</v>
      </c>
      <c r="B39" s="57" t="s">
        <v>570</v>
      </c>
      <c r="C39" s="195"/>
      <c r="D39" s="102"/>
      <c r="E39" s="195"/>
      <c r="F39" s="195"/>
      <c r="G39" s="195"/>
      <c r="H39" s="195"/>
      <c r="I39" s="195"/>
      <c r="J39" s="195"/>
      <c r="K39" s="195"/>
      <c r="L39" s="195"/>
      <c r="M39" s="195"/>
      <c r="N39"/>
    </row>
    <row r="40" spans="1:14" x14ac:dyDescent="0.25">
      <c r="A40" s="174">
        <v>9</v>
      </c>
      <c r="B40" s="57" t="s">
        <v>571</v>
      </c>
      <c r="C40" s="195"/>
      <c r="D40" s="102"/>
      <c r="E40" s="195"/>
      <c r="F40" s="195"/>
      <c r="G40" s="195"/>
      <c r="H40" s="195"/>
      <c r="I40" s="195"/>
      <c r="J40" s="195"/>
      <c r="K40" s="195"/>
      <c r="L40" s="195"/>
      <c r="M40" s="195"/>
      <c r="N40"/>
    </row>
    <row r="41" spans="1:14" x14ac:dyDescent="0.25">
      <c r="A41" s="174">
        <v>10</v>
      </c>
      <c r="B41" s="57" t="s">
        <v>572</v>
      </c>
      <c r="C41" s="195"/>
      <c r="D41" s="102"/>
      <c r="E41" s="195"/>
      <c r="F41" s="195"/>
      <c r="G41" s="195"/>
      <c r="H41" s="195"/>
      <c r="I41" s="195"/>
      <c r="J41" s="195"/>
      <c r="K41" s="195"/>
      <c r="L41" s="195"/>
      <c r="M41" s="195"/>
      <c r="N41"/>
    </row>
    <row r="42" spans="1:14" x14ac:dyDescent="0.25">
      <c r="A42" s="174"/>
      <c r="B42" s="57" t="s">
        <v>357</v>
      </c>
      <c r="C42" s="195"/>
      <c r="D42" s="102"/>
      <c r="E42" s="195"/>
      <c r="F42" s="195"/>
      <c r="G42" s="195"/>
      <c r="H42" s="195"/>
      <c r="I42" s="195"/>
      <c r="J42" s="195"/>
      <c r="K42" s="195"/>
      <c r="L42" s="195"/>
      <c r="M42" s="195"/>
      <c r="N42"/>
    </row>
    <row r="43" spans="1:14" x14ac:dyDescent="0.25">
      <c r="A43" s="174">
        <v>11</v>
      </c>
      <c r="B43" s="57" t="s">
        <v>573</v>
      </c>
      <c r="C43" s="195"/>
      <c r="D43" s="102"/>
      <c r="E43" s="195"/>
      <c r="F43" s="195"/>
      <c r="G43" s="195"/>
      <c r="H43" s="195"/>
      <c r="I43" s="195"/>
      <c r="J43" s="195"/>
      <c r="K43" s="195"/>
      <c r="L43" s="195"/>
      <c r="M43" s="195"/>
      <c r="N43"/>
    </row>
    <row r="44" spans="1:14" x14ac:dyDescent="0.25">
      <c r="A44" s="174">
        <v>12</v>
      </c>
      <c r="B44" s="195" t="s">
        <v>568</v>
      </c>
      <c r="C44" s="195"/>
      <c r="D44" s="102"/>
      <c r="E44" s="195"/>
      <c r="F44" s="195"/>
      <c r="G44" s="195"/>
      <c r="H44" s="195"/>
      <c r="I44" s="195"/>
      <c r="J44" s="195"/>
      <c r="K44" s="195"/>
      <c r="L44" s="195"/>
      <c r="M44" s="195"/>
      <c r="N44"/>
    </row>
    <row r="45" spans="1:14" x14ac:dyDescent="0.25">
      <c r="A45" s="174">
        <v>13</v>
      </c>
      <c r="B45" s="61" t="s">
        <v>359</v>
      </c>
      <c r="C45" s="196"/>
      <c r="D45" s="91"/>
      <c r="E45" s="196"/>
      <c r="F45" s="197"/>
      <c r="G45" s="195"/>
      <c r="H45" s="195"/>
      <c r="I45" s="195"/>
      <c r="J45" s="195"/>
      <c r="K45" s="195"/>
      <c r="L45" s="195"/>
      <c r="M45" s="198"/>
      <c r="N45"/>
    </row>
    <row r="46" spans="1:14" x14ac:dyDescent="0.25">
      <c r="A46" s="174">
        <v>14</v>
      </c>
      <c r="B46" s="61" t="s">
        <v>574</v>
      </c>
      <c r="C46" s="196"/>
      <c r="D46" s="91"/>
      <c r="E46" s="196"/>
      <c r="F46" s="197"/>
      <c r="G46" s="195"/>
      <c r="H46" s="195"/>
      <c r="I46" s="195"/>
      <c r="J46" s="195"/>
      <c r="K46" s="195"/>
      <c r="L46" s="195"/>
      <c r="M46" s="198"/>
      <c r="N46"/>
    </row>
    <row r="47" spans="1:14" x14ac:dyDescent="0.25">
      <c r="B47"/>
      <c r="C47"/>
      <c r="D47" s="201"/>
      <c r="E47"/>
      <c r="F47"/>
      <c r="G47"/>
      <c r="H47"/>
      <c r="I47"/>
      <c r="J47"/>
      <c r="K47"/>
      <c r="L47"/>
      <c r="M47"/>
      <c r="N47"/>
    </row>
    <row r="48" spans="1:14" x14ac:dyDescent="0.25">
      <c r="B48"/>
      <c r="C48"/>
      <c r="D48" s="201"/>
      <c r="E48"/>
      <c r="F48"/>
      <c r="G48"/>
      <c r="H48"/>
      <c r="I48"/>
      <c r="J48"/>
      <c r="K48"/>
      <c r="L48"/>
      <c r="M48"/>
      <c r="N48"/>
    </row>
    <row r="49" spans="2:14" x14ac:dyDescent="0.25">
      <c r="B49"/>
      <c r="C49"/>
      <c r="D49" s="201"/>
      <c r="E49"/>
      <c r="F49"/>
      <c r="G49"/>
      <c r="H49"/>
      <c r="I49"/>
      <c r="J49"/>
      <c r="K49"/>
      <c r="L49"/>
      <c r="M49"/>
      <c r="N49"/>
    </row>
    <row r="50" spans="2:14" x14ac:dyDescent="0.25">
      <c r="B50"/>
      <c r="C50"/>
      <c r="D50" s="201"/>
      <c r="E50"/>
      <c r="F50"/>
      <c r="G50"/>
      <c r="H50"/>
      <c r="I50"/>
      <c r="J50"/>
      <c r="K50"/>
      <c r="L50"/>
      <c r="M50"/>
      <c r="N50"/>
    </row>
  </sheetData>
  <mergeCells count="16">
    <mergeCell ref="A1:N1"/>
    <mergeCell ref="A2:N2"/>
    <mergeCell ref="I4:K4"/>
    <mergeCell ref="L4:L5"/>
    <mergeCell ref="M4:M5"/>
    <mergeCell ref="N4:N5"/>
    <mergeCell ref="B23:C23"/>
    <mergeCell ref="B32:N32"/>
    <mergeCell ref="A4:A5"/>
    <mergeCell ref="B4:B5"/>
    <mergeCell ref="C4:C5"/>
    <mergeCell ref="D4:D5"/>
    <mergeCell ref="E4:E5"/>
    <mergeCell ref="F4:F5"/>
    <mergeCell ref="G4:G5"/>
    <mergeCell ref="H4:H5"/>
  </mergeCells>
  <pageMargins left="0.35433070866141736" right="0.11811023622047245" top="0.55118110236220474" bottom="0.35433070866141736" header="0.31496062992125984" footer="0.31496062992125984"/>
  <pageSetup paperSize="5" scale="70" orientation="landscape" horizontalDpi="4294967293" verticalDpi="0" r:id="rId1"/>
  <rowBreaks count="1" manualBreakCount="1">
    <brk id="13"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72"/>
  <sheetViews>
    <sheetView view="pageBreakPreview" zoomScale="93" zoomScaleNormal="112" zoomScaleSheetLayoutView="93" workbookViewId="0">
      <selection activeCell="C40" sqref="C40"/>
    </sheetView>
  </sheetViews>
  <sheetFormatPr defaultRowHeight="15" x14ac:dyDescent="0.25"/>
  <cols>
    <col min="1" max="1" width="10" customWidth="1"/>
    <col min="2" max="2" width="66" customWidth="1"/>
    <col min="3" max="3" width="13.140625" customWidth="1"/>
  </cols>
  <sheetData>
    <row r="2" spans="1:3" ht="33" customHeight="1" x14ac:dyDescent="0.25">
      <c r="A2" s="404" t="s">
        <v>1199</v>
      </c>
      <c r="B2" s="404"/>
    </row>
    <row r="3" spans="1:3" ht="15.75" x14ac:dyDescent="0.25">
      <c r="A3" s="107"/>
      <c r="B3" s="107"/>
    </row>
    <row r="4" spans="1:3" ht="21" customHeight="1" x14ac:dyDescent="0.25">
      <c r="A4" s="398" t="s">
        <v>1</v>
      </c>
      <c r="B4" s="398" t="s">
        <v>2</v>
      </c>
      <c r="C4" s="476" t="s">
        <v>1177</v>
      </c>
    </row>
    <row r="5" spans="1:3" ht="24" customHeight="1" x14ac:dyDescent="0.25">
      <c r="A5" s="398"/>
      <c r="B5" s="398"/>
      <c r="C5" s="476"/>
    </row>
    <row r="6" spans="1:3" ht="14.45" customHeight="1" x14ac:dyDescent="0.25">
      <c r="A6" s="479" t="s">
        <v>702</v>
      </c>
      <c r="B6" s="480"/>
      <c r="C6" s="239">
        <f>(C7+C14)/2</f>
        <v>96.200595950054748</v>
      </c>
    </row>
    <row r="7" spans="1:3" ht="14.45" customHeight="1" x14ac:dyDescent="0.25">
      <c r="A7" s="481" t="s">
        <v>701</v>
      </c>
      <c r="B7" s="482"/>
      <c r="C7" s="234">
        <f>C8*10</f>
        <v>96.424999999999997</v>
      </c>
    </row>
    <row r="8" spans="1:3" x14ac:dyDescent="0.25">
      <c r="A8" s="104">
        <v>1</v>
      </c>
      <c r="B8" s="104" t="s">
        <v>608</v>
      </c>
      <c r="C8" s="235">
        <f>(C9+C10+C11+C12+C13)/5</f>
        <v>9.6425000000000001</v>
      </c>
    </row>
    <row r="9" spans="1:3" x14ac:dyDescent="0.25">
      <c r="A9" s="108" t="s">
        <v>601</v>
      </c>
      <c r="B9" s="109" t="s">
        <v>602</v>
      </c>
      <c r="C9" s="24">
        <f>'Instrumen Admen'!$H$25</f>
        <v>9.8125</v>
      </c>
    </row>
    <row r="10" spans="1:3" ht="15" customHeight="1" x14ac:dyDescent="0.25">
      <c r="A10" s="110" t="s">
        <v>600</v>
      </c>
      <c r="B10" s="110" t="s">
        <v>603</v>
      </c>
      <c r="C10" s="24">
        <f>'Instrumen Admen'!$H$32</f>
        <v>9.4</v>
      </c>
    </row>
    <row r="11" spans="1:3" ht="15" customHeight="1" x14ac:dyDescent="0.25">
      <c r="A11" s="110" t="s">
        <v>604</v>
      </c>
      <c r="B11" s="110" t="s">
        <v>605</v>
      </c>
      <c r="C11" s="24">
        <f>'Instrumen Admen'!$H$36</f>
        <v>10</v>
      </c>
    </row>
    <row r="12" spans="1:3" ht="15" customHeight="1" x14ac:dyDescent="0.25">
      <c r="A12" s="110" t="s">
        <v>606</v>
      </c>
      <c r="B12" s="110" t="s">
        <v>607</v>
      </c>
      <c r="C12" s="24">
        <f>'Instrumen Admen'!$H$41</f>
        <v>9</v>
      </c>
    </row>
    <row r="13" spans="1:3" ht="32.25" customHeight="1" x14ac:dyDescent="0.25">
      <c r="A13" s="111" t="s">
        <v>612</v>
      </c>
      <c r="B13" s="248" t="s">
        <v>613</v>
      </c>
      <c r="C13" s="24">
        <f>'Instrumen Admen'!$H$46</f>
        <v>10</v>
      </c>
    </row>
    <row r="14" spans="1:3" ht="15" customHeight="1" x14ac:dyDescent="0.25">
      <c r="A14" s="483" t="s">
        <v>703</v>
      </c>
      <c r="B14" s="484"/>
      <c r="C14" s="240">
        <f>(C15+C55+C63+C69)/4</f>
        <v>95.976191900109484</v>
      </c>
    </row>
    <row r="15" spans="1:3" x14ac:dyDescent="0.25">
      <c r="A15" s="236" t="s">
        <v>579</v>
      </c>
      <c r="B15" s="237"/>
      <c r="C15" s="112">
        <f>(C16+C23+C29+C36+C40+C54)/6</f>
        <v>93.484602711088201</v>
      </c>
    </row>
    <row r="16" spans="1:3" x14ac:dyDescent="0.25">
      <c r="A16" s="47" t="s">
        <v>581</v>
      </c>
      <c r="B16" s="66"/>
      <c r="C16" s="235">
        <f>(C17+C18+C19+C20+C21+C22)/6</f>
        <v>98.51283981718764</v>
      </c>
    </row>
    <row r="17" spans="1:3" x14ac:dyDescent="0.25">
      <c r="A17" s="47" t="s">
        <v>679</v>
      </c>
      <c r="B17" s="47" t="s">
        <v>680</v>
      </c>
      <c r="C17" s="113">
        <f>'Instrumen UKM Esensial &amp; Perkes'!$K$10</f>
        <v>100</v>
      </c>
    </row>
    <row r="18" spans="1:3" x14ac:dyDescent="0.25">
      <c r="A18" s="67" t="s">
        <v>681</v>
      </c>
      <c r="B18" s="67" t="s">
        <v>682</v>
      </c>
      <c r="C18" s="113">
        <f>'Instrumen UKM Esensial &amp; Perkes'!$K$14</f>
        <v>91.077038903125867</v>
      </c>
    </row>
    <row r="19" spans="1:3" x14ac:dyDescent="0.25">
      <c r="A19" s="67" t="s">
        <v>683</v>
      </c>
      <c r="B19" s="67" t="s">
        <v>684</v>
      </c>
      <c r="C19" s="113">
        <f>'Instrumen UKM Esensial &amp; Perkes'!$K$18</f>
        <v>100</v>
      </c>
    </row>
    <row r="20" spans="1:3" x14ac:dyDescent="0.25">
      <c r="A20" s="39" t="s">
        <v>685</v>
      </c>
      <c r="B20" s="39" t="s">
        <v>686</v>
      </c>
      <c r="C20" s="113">
        <f>'Instrumen UKM Esensial &amp; Perkes'!$K$22</f>
        <v>100</v>
      </c>
    </row>
    <row r="21" spans="1:3" x14ac:dyDescent="0.25">
      <c r="A21" s="67" t="s">
        <v>687</v>
      </c>
      <c r="B21" s="67" t="s">
        <v>688</v>
      </c>
      <c r="C21" s="113">
        <f>'Instrumen UKM Esensial &amp; Perkes'!$K$25</f>
        <v>100</v>
      </c>
    </row>
    <row r="22" spans="1:3" ht="17.649999999999999" customHeight="1" x14ac:dyDescent="0.25">
      <c r="A22" s="67" t="s">
        <v>689</v>
      </c>
      <c r="B22" s="67" t="s">
        <v>690</v>
      </c>
      <c r="C22" s="113">
        <f>'Instrumen UKM Esensial &amp; Perkes'!$K$29</f>
        <v>100</v>
      </c>
    </row>
    <row r="23" spans="1:3" x14ac:dyDescent="0.25">
      <c r="A23" s="39" t="s">
        <v>582</v>
      </c>
      <c r="B23" s="64"/>
      <c r="C23" s="235">
        <f>(C24+C25+C26+C27+C28)/5</f>
        <v>93.333333333333343</v>
      </c>
    </row>
    <row r="24" spans="1:3" x14ac:dyDescent="0.25">
      <c r="A24" s="67" t="s">
        <v>691</v>
      </c>
      <c r="B24" s="67" t="s">
        <v>692</v>
      </c>
      <c r="C24" s="113">
        <f>'Instrumen UKM Esensial &amp; Perkes'!$K$33</f>
        <v>100</v>
      </c>
    </row>
    <row r="25" spans="1:3" ht="15.6" customHeight="1" x14ac:dyDescent="0.25">
      <c r="A25" s="46" t="s">
        <v>693</v>
      </c>
      <c r="B25" s="46" t="s">
        <v>694</v>
      </c>
      <c r="C25" s="113">
        <f>'Instrumen UKM Esensial &amp; Perkes'!$K$38</f>
        <v>100</v>
      </c>
    </row>
    <row r="26" spans="1:3" ht="15.6" customHeight="1" x14ac:dyDescent="0.25">
      <c r="A26" s="46" t="s">
        <v>695</v>
      </c>
      <c r="B26" s="46" t="s">
        <v>696</v>
      </c>
      <c r="C26" s="113">
        <f>'Instrumen UKM Esensial &amp; Perkes'!$K$41</f>
        <v>100</v>
      </c>
    </row>
    <row r="27" spans="1:3" x14ac:dyDescent="0.25">
      <c r="A27" s="67" t="s">
        <v>697</v>
      </c>
      <c r="B27" s="67" t="s">
        <v>698</v>
      </c>
      <c r="C27" s="113">
        <f>'Instrumen UKM Esensial &amp; Perkes'!$K$44</f>
        <v>100</v>
      </c>
    </row>
    <row r="28" spans="1:3" ht="18" customHeight="1" x14ac:dyDescent="0.25">
      <c r="A28" s="46" t="s">
        <v>699</v>
      </c>
      <c r="B28" s="46" t="s">
        <v>700</v>
      </c>
      <c r="C28" s="113">
        <f>'Instrumen UKM Esensial &amp; Perkes'!$K$48</f>
        <v>66.666666666666671</v>
      </c>
    </row>
    <row r="29" spans="1:3" ht="19.149999999999999" customHeight="1" x14ac:dyDescent="0.25">
      <c r="A29" s="68" t="s">
        <v>391</v>
      </c>
      <c r="B29" s="97" t="s">
        <v>584</v>
      </c>
      <c r="C29" s="235">
        <f>(C30+C31+C32+C33+C34+C35)/6</f>
        <v>86.601674789080491</v>
      </c>
    </row>
    <row r="30" spans="1:3" ht="19.149999999999999" customHeight="1" x14ac:dyDescent="0.25">
      <c r="A30" s="69" t="s">
        <v>676</v>
      </c>
      <c r="B30" s="69" t="s">
        <v>677</v>
      </c>
      <c r="C30" s="113">
        <f>'Instrumen UKM Esensial &amp; Perkes'!$K$53</f>
        <v>87.503321377876802</v>
      </c>
    </row>
    <row r="31" spans="1:3" x14ac:dyDescent="0.25">
      <c r="A31" s="69" t="s">
        <v>674</v>
      </c>
      <c r="B31" s="69" t="s">
        <v>675</v>
      </c>
      <c r="C31" s="113">
        <f>'Instrumen UKM Esensial &amp; Perkes'!$K$59</f>
        <v>82.245544416597042</v>
      </c>
    </row>
    <row r="32" spans="1:3" x14ac:dyDescent="0.25">
      <c r="A32" s="69" t="s">
        <v>672</v>
      </c>
      <c r="B32" s="69" t="s">
        <v>673</v>
      </c>
      <c r="C32" s="113">
        <f>'Instrumen UKM Esensial &amp; Perkes'!$K$64</f>
        <v>64.878539915442531</v>
      </c>
    </row>
    <row r="33" spans="1:3" x14ac:dyDescent="0.25">
      <c r="A33" s="69" t="s">
        <v>670</v>
      </c>
      <c r="B33" s="69" t="s">
        <v>671</v>
      </c>
      <c r="C33" s="113">
        <f>'Instrumen UKM Esensial &amp; Perkes'!$K$67</f>
        <v>99.899300699300696</v>
      </c>
    </row>
    <row r="34" spans="1:3" ht="15" customHeight="1" x14ac:dyDescent="0.25">
      <c r="A34" s="46" t="s">
        <v>668</v>
      </c>
      <c r="B34" s="46" t="s">
        <v>669</v>
      </c>
      <c r="C34" s="24">
        <f>'Instrumen UKM Esensial &amp; Perkes'!$K$73</f>
        <v>91.947177628171943</v>
      </c>
    </row>
    <row r="35" spans="1:3" ht="15.6" customHeight="1" x14ac:dyDescent="0.25">
      <c r="A35" s="114" t="s">
        <v>666</v>
      </c>
      <c r="B35" s="114" t="s">
        <v>667</v>
      </c>
      <c r="C35" s="113">
        <f>'Instrumen UKM Esensial &amp; Perkes'!$K$76</f>
        <v>93.136164697093974</v>
      </c>
    </row>
    <row r="36" spans="1:3" x14ac:dyDescent="0.25">
      <c r="A36" s="39" t="s">
        <v>583</v>
      </c>
      <c r="B36" s="64"/>
      <c r="C36" s="235">
        <f>(C37+C38+C39)/3</f>
        <v>91.833027188995558</v>
      </c>
    </row>
    <row r="37" spans="1:3" x14ac:dyDescent="0.25">
      <c r="A37" s="67" t="s">
        <v>660</v>
      </c>
      <c r="B37" s="67" t="s">
        <v>661</v>
      </c>
      <c r="C37" s="113">
        <f>'Instrumen UKM Esensial &amp; Perkes'!$K$85</f>
        <v>85.076092292587134</v>
      </c>
    </row>
    <row r="38" spans="1:3" x14ac:dyDescent="0.25">
      <c r="A38" s="67" t="s">
        <v>662</v>
      </c>
      <c r="B38" s="67" t="s">
        <v>663</v>
      </c>
      <c r="C38" s="113">
        <f>'Instrumen UKM Esensial &amp; Perkes'!$K$89</f>
        <v>100</v>
      </c>
    </row>
    <row r="39" spans="1:3" x14ac:dyDescent="0.25">
      <c r="A39" s="67" t="s">
        <v>664</v>
      </c>
      <c r="B39" s="67" t="s">
        <v>665</v>
      </c>
      <c r="C39" s="113">
        <f>'Instrumen UKM Esensial &amp; Perkes'!$K$94</f>
        <v>90.422989274399498</v>
      </c>
    </row>
    <row r="40" spans="1:3" ht="18.600000000000001" customHeight="1" x14ac:dyDescent="0.25">
      <c r="A40" s="478" t="s">
        <v>678</v>
      </c>
      <c r="B40" s="478"/>
      <c r="C40" s="241">
        <f>AVERAGE(C41:C53)</f>
        <v>90.626741137932129</v>
      </c>
    </row>
    <row r="41" spans="1:3" x14ac:dyDescent="0.25">
      <c r="A41" s="67" t="s">
        <v>638</v>
      </c>
      <c r="B41" s="67" t="s">
        <v>639</v>
      </c>
      <c r="C41" s="113">
        <f>'Instrumen UKM Esensial &amp; Perkes'!$K$101</f>
        <v>95.208970438328222</v>
      </c>
    </row>
    <row r="42" spans="1:3" x14ac:dyDescent="0.25">
      <c r="A42" s="67" t="s">
        <v>640</v>
      </c>
      <c r="B42" s="67" t="s">
        <v>1201</v>
      </c>
      <c r="C42" s="113">
        <f>'Instrumen UKM Esensial &amp; Perkes'!K105</f>
        <v>85.180722891566262</v>
      </c>
    </row>
    <row r="43" spans="1:3" x14ac:dyDescent="0.25">
      <c r="A43" s="67" t="s">
        <v>642</v>
      </c>
      <c r="B43" s="67" t="s">
        <v>641</v>
      </c>
      <c r="C43" s="113">
        <f>'Instrumen UKM Esensial &amp; Perkes'!$K$108</f>
        <v>51.493139628732848</v>
      </c>
    </row>
    <row r="44" spans="1:3" x14ac:dyDescent="0.25">
      <c r="A44" s="67" t="s">
        <v>644</v>
      </c>
      <c r="B44" s="67" t="s">
        <v>643</v>
      </c>
      <c r="C44" s="113">
        <f>'Instrumen UKM Esensial &amp; Perkes'!$K$111</f>
        <v>100</v>
      </c>
    </row>
    <row r="45" spans="1:3" x14ac:dyDescent="0.25">
      <c r="A45" s="67" t="s">
        <v>646</v>
      </c>
      <c r="B45" s="67" t="s">
        <v>645</v>
      </c>
      <c r="C45" s="113">
        <f>'Instrumen UKM Esensial &amp; Perkes'!$K$117</f>
        <v>97.418478260869563</v>
      </c>
    </row>
    <row r="46" spans="1:3" ht="18.600000000000001" customHeight="1" x14ac:dyDescent="0.25">
      <c r="A46" s="67" t="s">
        <v>648</v>
      </c>
      <c r="B46" s="67" t="s">
        <v>647</v>
      </c>
      <c r="C46" s="113">
        <f>'Instrumen UKM Esensial &amp; Perkes'!$K$122</f>
        <v>100</v>
      </c>
    </row>
    <row r="47" spans="1:3" x14ac:dyDescent="0.25">
      <c r="A47" s="67" t="s">
        <v>650</v>
      </c>
      <c r="B47" s="67" t="s">
        <v>649</v>
      </c>
      <c r="C47" s="113">
        <f>'Instrumen UKM Esensial &amp; Perkes'!$K$125</f>
        <v>99.415204678362571</v>
      </c>
    </row>
    <row r="48" spans="1:3" x14ac:dyDescent="0.25">
      <c r="A48" s="67" t="s">
        <v>652</v>
      </c>
      <c r="B48" s="67" t="s">
        <v>651</v>
      </c>
      <c r="C48" s="113">
        <f>'Instrumen UKM Esensial &amp; Perkes'!K129</f>
        <v>100</v>
      </c>
    </row>
    <row r="49" spans="1:3" x14ac:dyDescent="0.25">
      <c r="A49" s="67" t="s">
        <v>654</v>
      </c>
      <c r="B49" s="67" t="s">
        <v>653</v>
      </c>
      <c r="C49" s="113">
        <f>'Instrumen UKM Esensial &amp; Perkes'!K133</f>
        <v>100</v>
      </c>
    </row>
    <row r="50" spans="1:3" x14ac:dyDescent="0.25">
      <c r="A50" s="67" t="s">
        <v>656</v>
      </c>
      <c r="B50" s="67" t="s">
        <v>655</v>
      </c>
      <c r="C50" s="113">
        <f>'Instrumen UKM Esensial &amp; Perkes'!$K$136</f>
        <v>97.645470992503206</v>
      </c>
    </row>
    <row r="51" spans="1:3" x14ac:dyDescent="0.25">
      <c r="A51" s="67" t="s">
        <v>658</v>
      </c>
      <c r="B51" s="67" t="s">
        <v>657</v>
      </c>
      <c r="C51" s="113">
        <f>'Instrumen UKM Esensial &amp; Perkes'!$K$146</f>
        <v>88.888888888888886</v>
      </c>
    </row>
    <row r="52" spans="1:3" x14ac:dyDescent="0.25">
      <c r="A52" s="39" t="s">
        <v>469</v>
      </c>
      <c r="B52" s="67" t="s">
        <v>659</v>
      </c>
      <c r="C52" s="113">
        <f>'Instrumen UKM Esensial &amp; Perkes'!$K$156</f>
        <v>62.89675901386606</v>
      </c>
    </row>
    <row r="53" spans="1:3" x14ac:dyDescent="0.25">
      <c r="A53" s="39" t="s">
        <v>801</v>
      </c>
      <c r="B53" s="39"/>
      <c r="C53" s="24">
        <f>'Instrumen UKM Esensial &amp; Perkes'!$K$173</f>
        <v>100</v>
      </c>
    </row>
    <row r="54" spans="1:3" ht="16.899999999999999" customHeight="1" x14ac:dyDescent="0.25">
      <c r="A54" s="414" t="s">
        <v>580</v>
      </c>
      <c r="B54" s="414"/>
      <c r="C54" s="235">
        <f>'Instrumen UKM Esensial &amp; Perkes'!$L$178</f>
        <v>100</v>
      </c>
    </row>
    <row r="55" spans="1:3" ht="19.149999999999999" customHeight="1" x14ac:dyDescent="0.25">
      <c r="A55" s="477" t="s">
        <v>609</v>
      </c>
      <c r="B55" s="477"/>
      <c r="C55" s="112">
        <f>AVERAGE(C56:C62)</f>
        <v>99.278499278499268</v>
      </c>
    </row>
    <row r="56" spans="1:3" ht="15" customHeight="1" x14ac:dyDescent="0.25">
      <c r="A56" s="46" t="s">
        <v>636</v>
      </c>
      <c r="B56" s="46" t="s">
        <v>637</v>
      </c>
      <c r="C56" s="24">
        <f>'Instrumen UKM Pengembangan'!$L$8</f>
        <v>100</v>
      </c>
    </row>
    <row r="57" spans="1:3" ht="17.45" customHeight="1" x14ac:dyDescent="0.25">
      <c r="A57" s="46" t="s">
        <v>635</v>
      </c>
      <c r="B57" s="46" t="s">
        <v>634</v>
      </c>
      <c r="C57" s="24">
        <f>'Instrumen UKM Pengembangan'!$L$11</f>
        <v>100</v>
      </c>
    </row>
    <row r="58" spans="1:3" ht="16.899999999999999" customHeight="1" x14ac:dyDescent="0.25">
      <c r="A58" s="46" t="s">
        <v>888</v>
      </c>
      <c r="B58" s="46" t="s">
        <v>633</v>
      </c>
      <c r="C58" s="24">
        <f>'Instrumen UKM Pengembangan'!$L$13</f>
        <v>100</v>
      </c>
    </row>
    <row r="59" spans="1:3" ht="14.45" customHeight="1" x14ac:dyDescent="0.25">
      <c r="A59" s="46" t="s">
        <v>632</v>
      </c>
      <c r="B59" s="46" t="s">
        <v>631</v>
      </c>
      <c r="C59" s="24">
        <f>'Instrumen UKM Pengembangan'!$L$15</f>
        <v>100</v>
      </c>
    </row>
    <row r="60" spans="1:3" ht="15" customHeight="1" x14ac:dyDescent="0.25">
      <c r="A60" s="46" t="s">
        <v>630</v>
      </c>
      <c r="B60" s="46" t="s">
        <v>629</v>
      </c>
      <c r="C60" s="24">
        <f>'Instrumen UKM Pengembangan'!$L$21</f>
        <v>97.727272727272734</v>
      </c>
    </row>
    <row r="61" spans="1:3" ht="15" customHeight="1" x14ac:dyDescent="0.25">
      <c r="A61" s="46" t="s">
        <v>628</v>
      </c>
      <c r="B61" s="46" t="s">
        <v>627</v>
      </c>
      <c r="C61" s="24">
        <f>'Instrumen UKM Pengembangan'!$L$26</f>
        <v>97.222222222222214</v>
      </c>
    </row>
    <row r="62" spans="1:3" ht="15.75" x14ac:dyDescent="0.25">
      <c r="A62" s="46" t="s">
        <v>626</v>
      </c>
      <c r="B62" s="115" t="s">
        <v>625</v>
      </c>
      <c r="C62" s="24">
        <f>'Instrumen UKM Pengembangan'!$L$31</f>
        <v>100</v>
      </c>
    </row>
    <row r="63" spans="1:3" ht="15.75" x14ac:dyDescent="0.25">
      <c r="A63" s="238" t="s">
        <v>610</v>
      </c>
      <c r="B63" s="238"/>
      <c r="C63" s="112">
        <f>AVERAGE(C64:C67)</f>
        <v>93.641665610850481</v>
      </c>
    </row>
    <row r="64" spans="1:3" ht="15" customHeight="1" x14ac:dyDescent="0.25">
      <c r="A64" s="111" t="s">
        <v>623</v>
      </c>
      <c r="B64" s="111" t="s">
        <v>624</v>
      </c>
      <c r="C64" s="24">
        <f>'Instrumen UKP'!$K$8</f>
        <v>77.066662443401896</v>
      </c>
    </row>
    <row r="65" spans="1:3" ht="15" customHeight="1" x14ac:dyDescent="0.25">
      <c r="A65" s="46" t="s">
        <v>621</v>
      </c>
      <c r="B65" s="46" t="s">
        <v>622</v>
      </c>
      <c r="C65" s="24">
        <f>'Instrumen UKP'!$K$19</f>
        <v>100</v>
      </c>
    </row>
    <row r="66" spans="1:3" x14ac:dyDescent="0.25">
      <c r="A66" s="39" t="s">
        <v>619</v>
      </c>
      <c r="B66" s="67" t="s">
        <v>620</v>
      </c>
      <c r="C66" s="24">
        <f>'Instrumen UKP'!$K$21</f>
        <v>97.5</v>
      </c>
    </row>
    <row r="67" spans="1:3" ht="15" customHeight="1" x14ac:dyDescent="0.25">
      <c r="A67" s="116" t="s">
        <v>617</v>
      </c>
      <c r="B67" s="116" t="s">
        <v>618</v>
      </c>
      <c r="C67" s="24">
        <f>'Instrumen UKP'!$K$32</f>
        <v>100</v>
      </c>
    </row>
    <row r="68" spans="1:3" ht="15" customHeight="1" x14ac:dyDescent="0.25">
      <c r="A68" s="46" t="s">
        <v>615</v>
      </c>
      <c r="B68" s="46" t="s">
        <v>616</v>
      </c>
      <c r="C68" s="24">
        <f>'Instrumen UKP'!$K$36</f>
        <v>0</v>
      </c>
    </row>
    <row r="69" spans="1:3" ht="15.6" customHeight="1" x14ac:dyDescent="0.25">
      <c r="A69" s="475" t="s">
        <v>611</v>
      </c>
      <c r="B69" s="475"/>
      <c r="C69" s="112">
        <f>AVERAGE(C70:C72)</f>
        <v>97.5</v>
      </c>
    </row>
    <row r="70" spans="1:3" s="106" customFormat="1" ht="17.45" customHeight="1" x14ac:dyDescent="0.25">
      <c r="A70" s="140" t="s">
        <v>552</v>
      </c>
      <c r="B70" s="96" t="s">
        <v>889</v>
      </c>
      <c r="C70" s="105">
        <f>'Instrumen Mutu'!K7</f>
        <v>100</v>
      </c>
    </row>
    <row r="71" spans="1:3" s="106" customFormat="1" ht="18.600000000000001" customHeight="1" x14ac:dyDescent="0.25">
      <c r="A71" s="140" t="s">
        <v>554</v>
      </c>
      <c r="B71" s="96" t="s">
        <v>890</v>
      </c>
      <c r="C71" s="105">
        <f>'Instrumen Mutu'!K14</f>
        <v>92.5</v>
      </c>
    </row>
    <row r="72" spans="1:3" s="106" customFormat="1" ht="18" customHeight="1" x14ac:dyDescent="0.25">
      <c r="A72" s="140" t="s">
        <v>556</v>
      </c>
      <c r="B72" s="96" t="s">
        <v>891</v>
      </c>
      <c r="C72" s="105">
        <f>'Instrumen Mutu'!K19</f>
        <v>100</v>
      </c>
    </row>
  </sheetData>
  <mergeCells count="11">
    <mergeCell ref="A2:B2"/>
    <mergeCell ref="A4:A5"/>
    <mergeCell ref="B4:B5"/>
    <mergeCell ref="A69:B69"/>
    <mergeCell ref="C4:C5"/>
    <mergeCell ref="A55:B55"/>
    <mergeCell ref="A54:B54"/>
    <mergeCell ref="A40:B40"/>
    <mergeCell ref="A6:B6"/>
    <mergeCell ref="A7:B7"/>
    <mergeCell ref="A14:B14"/>
  </mergeCells>
  <phoneticPr fontId="39" type="noConversion"/>
  <printOptions horizontalCentered="1"/>
  <pageMargins left="0.511811023622047" right="0.511811023622047" top="0.55118110236220497" bottom="0.35433070866141703" header="0.31496062992126" footer="0.31496062992126"/>
  <pageSetup paperSize="14"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Instrumen Admen</vt:lpstr>
      <vt:lpstr>Instrumen UKM Esensial &amp; Perkes</vt:lpstr>
      <vt:lpstr>Instrumen UKM Pengembangan</vt:lpstr>
      <vt:lpstr>Instrumen UKP</vt:lpstr>
      <vt:lpstr>Instrumen Mutu</vt:lpstr>
      <vt:lpstr>REKAP</vt:lpstr>
      <vt:lpstr>'Instrumen Admen'!Print_Area</vt:lpstr>
      <vt:lpstr>'Instrumen Mutu'!Print_Area</vt:lpstr>
      <vt:lpstr>'Instrumen UKM Pengembangan'!Print_Area</vt:lpstr>
      <vt:lpstr>'Instrumen UKP'!Print_Area</vt:lpstr>
      <vt:lpstr>'Instrumen Admen'!Print_Titles</vt:lpstr>
      <vt:lpstr>'Instrumen Mutu'!Print_Titles</vt:lpstr>
      <vt:lpstr>'Instrumen UKM Esensial &amp; Perkes'!Print_Titles</vt:lpstr>
      <vt:lpstr>'Instrumen UKM Pengembangan'!Print_Titles</vt:lpstr>
      <vt:lpstr>'Instrumen UKP'!Print_Titles</vt:lpstr>
      <vt:lpstr>REKAP!Print_Titles</vt:lpstr>
    </vt:vector>
  </TitlesOfParts>
  <Company>by adguard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ACER</cp:lastModifiedBy>
  <cp:lastPrinted>2024-01-28T12:08:34Z</cp:lastPrinted>
  <dcterms:created xsi:type="dcterms:W3CDTF">2022-03-21T11:00:40Z</dcterms:created>
  <dcterms:modified xsi:type="dcterms:W3CDTF">2024-02-15T00:52:35Z</dcterms:modified>
</cp:coreProperties>
</file>